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9440" windowHeight="7935" activeTab="2"/>
  </bookViews>
  <sheets>
    <sheet name="Nhap ao" sheetId="1" r:id="rId1"/>
    <sheet name="Nhap do TD" sheetId="2" r:id="rId2"/>
    <sheet name="Nhap do xuong" sheetId="11" r:id="rId3"/>
    <sheet name="Da nop KT" sheetId="3" r:id="rId4"/>
    <sheet name="Nhap-xuat-ton" sheetId="12" r:id="rId5"/>
    <sheet name="ke nop tien" sheetId="6" r:id="rId6"/>
    <sheet name="Sheet2" sheetId="7" r:id="rId7"/>
    <sheet name="Sheet3" sheetId="8" r:id="rId8"/>
    <sheet name="Sheet3 (2)" sheetId="9" r:id="rId9"/>
    <sheet name="Sheet4" sheetId="4" r:id="rId10"/>
    <sheet name="Sheet5" sheetId="5" r:id="rId11"/>
  </sheets>
  <calcPr calcId="144525"/>
</workbook>
</file>

<file path=xl/calcChain.xml><?xml version="1.0" encoding="utf-8"?>
<calcChain xmlns="http://schemas.openxmlformats.org/spreadsheetml/2006/main">
  <c r="I12" i="12" l="1"/>
  <c r="D5" i="2" l="1"/>
  <c r="F5" i="2"/>
  <c r="D6" i="2"/>
  <c r="F6" i="2"/>
  <c r="D7" i="2"/>
  <c r="F7" i="2"/>
  <c r="D8" i="2"/>
  <c r="F8" i="2"/>
  <c r="D9" i="2"/>
  <c r="F9" i="2"/>
  <c r="D10" i="2"/>
  <c r="E10" i="2"/>
  <c r="E11" i="2"/>
  <c r="E12" i="2"/>
  <c r="F22" i="6" l="1"/>
  <c r="F49" i="3" l="1"/>
  <c r="H49" i="3"/>
  <c r="J49" i="3"/>
  <c r="L49" i="3"/>
  <c r="AA50" i="3" l="1"/>
  <c r="AA49" i="3"/>
  <c r="AA48" i="3"/>
  <c r="AA47" i="3"/>
  <c r="AA46" i="3"/>
  <c r="AA45" i="3"/>
  <c r="AA44" i="3"/>
  <c r="AA43" i="3"/>
  <c r="AA42" i="3"/>
  <c r="AB41" i="3"/>
  <c r="AA41" i="3"/>
  <c r="F48" i="3"/>
  <c r="F50" i="3"/>
  <c r="Z47" i="3"/>
  <c r="Z48" i="3"/>
  <c r="Z49" i="3"/>
  <c r="Z50" i="3"/>
  <c r="X48" i="3"/>
  <c r="X49" i="3"/>
  <c r="X50" i="3"/>
  <c r="V48" i="3"/>
  <c r="V49" i="3"/>
  <c r="V50" i="3"/>
  <c r="T48" i="3"/>
  <c r="T49" i="3"/>
  <c r="T50" i="3"/>
  <c r="R48" i="3"/>
  <c r="R49" i="3"/>
  <c r="R50" i="3"/>
  <c r="P48" i="3"/>
  <c r="P49" i="3"/>
  <c r="P50" i="3"/>
  <c r="D48" i="3" l="1"/>
  <c r="X47" i="3"/>
  <c r="V47" i="3"/>
  <c r="T47" i="3"/>
  <c r="R47" i="3"/>
  <c r="P47" i="3"/>
  <c r="F47" i="3"/>
  <c r="J16" i="11"/>
  <c r="K16" i="11"/>
  <c r="L16" i="11"/>
  <c r="J5" i="11"/>
  <c r="J4" i="11" s="1"/>
  <c r="K5" i="11"/>
  <c r="L5" i="11"/>
  <c r="L4" i="11" s="1"/>
  <c r="K4" i="11" l="1"/>
  <c r="N46" i="3"/>
  <c r="N47" i="3"/>
  <c r="N49" i="3"/>
  <c r="N50" i="3"/>
  <c r="L46" i="3"/>
  <c r="L47" i="3"/>
  <c r="L50" i="3"/>
  <c r="J46" i="3"/>
  <c r="J47" i="3"/>
  <c r="J50" i="3"/>
  <c r="H46" i="3"/>
  <c r="H47" i="3"/>
  <c r="H50" i="3"/>
  <c r="D50" i="3" s="1"/>
  <c r="Z46" i="3"/>
  <c r="X46" i="3"/>
  <c r="V46" i="3"/>
  <c r="T46" i="3"/>
  <c r="R46" i="3"/>
  <c r="P46" i="3"/>
  <c r="F46" i="3"/>
  <c r="D49" i="3" l="1"/>
  <c r="D46" i="3"/>
  <c r="D47" i="3"/>
  <c r="B18" i="11"/>
  <c r="B19" i="11"/>
  <c r="B20" i="11"/>
  <c r="B21" i="11"/>
  <c r="B22" i="11"/>
  <c r="B23" i="11"/>
  <c r="B24" i="11"/>
  <c r="B17" i="11"/>
  <c r="B7" i="11"/>
  <c r="B8" i="11"/>
  <c r="B9" i="11"/>
  <c r="B10" i="11"/>
  <c r="B11" i="11"/>
  <c r="B12" i="11"/>
  <c r="B13" i="11"/>
  <c r="B14" i="11"/>
  <c r="B15" i="11"/>
  <c r="B6" i="11"/>
  <c r="D16" i="11"/>
  <c r="E16" i="11"/>
  <c r="F16" i="11"/>
  <c r="G16" i="11"/>
  <c r="H16" i="11"/>
  <c r="I16" i="11"/>
  <c r="I5" i="11"/>
  <c r="X45" i="3"/>
  <c r="V45" i="3"/>
  <c r="T45" i="3"/>
  <c r="R45" i="3"/>
  <c r="P45" i="3"/>
  <c r="I4" i="11" l="1"/>
  <c r="X44" i="3"/>
  <c r="V44" i="3"/>
  <c r="T44" i="3"/>
  <c r="R44" i="3"/>
  <c r="P44" i="3"/>
  <c r="G10" i="12"/>
  <c r="G9" i="12"/>
  <c r="G8" i="12"/>
  <c r="G7" i="12"/>
  <c r="G6" i="12"/>
  <c r="G5" i="12"/>
  <c r="G4" i="11"/>
  <c r="E7" i="12"/>
  <c r="Z42" i="3"/>
  <c r="Z43" i="3"/>
  <c r="Z44" i="3"/>
  <c r="Z45" i="3"/>
  <c r="X43" i="3"/>
  <c r="V43" i="3"/>
  <c r="T43" i="3"/>
  <c r="R43" i="3"/>
  <c r="P43" i="3"/>
  <c r="N38" i="3"/>
  <c r="N39" i="3"/>
  <c r="N40" i="3"/>
  <c r="N41" i="3"/>
  <c r="N42" i="3"/>
  <c r="N43" i="3"/>
  <c r="N44" i="3"/>
  <c r="N45" i="3"/>
  <c r="L39" i="3"/>
  <c r="L40" i="3"/>
  <c r="L41" i="3"/>
  <c r="L42" i="3"/>
  <c r="L43" i="3"/>
  <c r="L44" i="3"/>
  <c r="L45" i="3"/>
  <c r="J38" i="3"/>
  <c r="J39" i="3"/>
  <c r="J40" i="3"/>
  <c r="J41" i="3"/>
  <c r="J42" i="3"/>
  <c r="J43" i="3"/>
  <c r="J44" i="3"/>
  <c r="J45" i="3"/>
  <c r="H41" i="3"/>
  <c r="H42" i="3"/>
  <c r="H43" i="3"/>
  <c r="H44" i="3"/>
  <c r="H45" i="3"/>
  <c r="F42" i="3"/>
  <c r="F43" i="3"/>
  <c r="F44" i="3"/>
  <c r="F45" i="3"/>
  <c r="M23" i="11"/>
  <c r="M13" i="11"/>
  <c r="M10" i="11"/>
  <c r="M8" i="11"/>
  <c r="M6" i="11"/>
  <c r="G5" i="11"/>
  <c r="H5" i="11"/>
  <c r="H4" i="11" s="1"/>
  <c r="C16" i="11"/>
  <c r="C5" i="11"/>
  <c r="C4" i="11" s="1"/>
  <c r="D5" i="11"/>
  <c r="D4" i="11" s="1"/>
  <c r="E5" i="11"/>
  <c r="F5" i="11"/>
  <c r="F4" i="11" s="1"/>
  <c r="E4" i="11" l="1"/>
  <c r="D45" i="3"/>
  <c r="M5" i="11"/>
  <c r="B6" i="2"/>
  <c r="B7" i="2"/>
  <c r="B8" i="2"/>
  <c r="B9" i="2"/>
  <c r="B10" i="2"/>
  <c r="B11" i="2"/>
  <c r="B12" i="2"/>
  <c r="B5" i="2"/>
  <c r="I4" i="2"/>
  <c r="X42" i="3"/>
  <c r="V42" i="3"/>
  <c r="T42" i="3"/>
  <c r="R42" i="3"/>
  <c r="D43" i="3"/>
  <c r="D44" i="3"/>
  <c r="P42" i="3"/>
  <c r="J10" i="2" l="1"/>
  <c r="J5" i="2"/>
  <c r="J8" i="2"/>
  <c r="J4" i="2" s="1"/>
  <c r="K7" i="12"/>
  <c r="K5" i="12"/>
  <c r="K6" i="12"/>
  <c r="D42" i="3"/>
  <c r="AA36" i="3"/>
  <c r="AA35" i="3"/>
  <c r="AA34" i="3"/>
  <c r="AB33" i="3"/>
  <c r="AA33" i="3"/>
  <c r="AB38" i="3"/>
  <c r="AB37" i="3"/>
  <c r="AA40" i="3"/>
  <c r="AA39" i="3"/>
  <c r="AA38" i="3"/>
  <c r="AA37" i="3"/>
  <c r="H40" i="3"/>
  <c r="F40" i="3"/>
  <c r="H39" i="3"/>
  <c r="F39" i="3"/>
  <c r="D24" i="11" l="1"/>
  <c r="C12" i="11"/>
  <c r="C10" i="11"/>
  <c r="C8" i="11"/>
  <c r="Z38" i="3"/>
  <c r="Z39" i="3"/>
  <c r="Z40" i="3"/>
  <c r="Z41" i="3"/>
  <c r="X38" i="3"/>
  <c r="X39" i="3"/>
  <c r="X40" i="3"/>
  <c r="X41" i="3"/>
  <c r="V38" i="3"/>
  <c r="V39" i="3"/>
  <c r="V40" i="3"/>
  <c r="V41" i="3"/>
  <c r="T38" i="3"/>
  <c r="T39" i="3"/>
  <c r="T40" i="3"/>
  <c r="T41" i="3"/>
  <c r="R38" i="3"/>
  <c r="R39" i="3"/>
  <c r="R40" i="3"/>
  <c r="R41" i="3"/>
  <c r="P38" i="3"/>
  <c r="P39" i="3"/>
  <c r="P40" i="3"/>
  <c r="P41" i="3"/>
  <c r="L38" i="3"/>
  <c r="H38" i="3"/>
  <c r="F38" i="3"/>
  <c r="O51" i="3"/>
  <c r="H5" i="12" s="1"/>
  <c r="I5" i="12" s="1"/>
  <c r="Q51" i="3"/>
  <c r="H6" i="12" s="1"/>
  <c r="I6" i="12" s="1"/>
  <c r="S51" i="3"/>
  <c r="H7" i="12" s="1"/>
  <c r="I7" i="12" s="1"/>
  <c r="U51" i="3"/>
  <c r="H8" i="12" s="1"/>
  <c r="I8" i="12" s="1"/>
  <c r="W51" i="3"/>
  <c r="H9" i="12" s="1"/>
  <c r="I9" i="12" s="1"/>
  <c r="Y51" i="3"/>
  <c r="H10" i="12" s="1"/>
  <c r="I10" i="12" s="1"/>
  <c r="D40" i="3" l="1"/>
  <c r="D38" i="3"/>
  <c r="D39" i="3"/>
  <c r="Z37" i="3"/>
  <c r="Z51" i="3" s="1"/>
  <c r="X37" i="3"/>
  <c r="X51" i="3" s="1"/>
  <c r="V37" i="3"/>
  <c r="V51" i="3" s="1"/>
  <c r="T37" i="3"/>
  <c r="T51" i="3" s="1"/>
  <c r="R37" i="3"/>
  <c r="R51" i="3" s="1"/>
  <c r="P37" i="3"/>
  <c r="P51" i="3" s="1"/>
  <c r="F12" i="6" l="1"/>
  <c r="F19" i="6"/>
  <c r="F20" i="6"/>
  <c r="F21" i="6"/>
  <c r="F13" i="6"/>
  <c r="F14" i="6"/>
  <c r="F15" i="6"/>
  <c r="F16" i="6"/>
  <c r="F17" i="6"/>
  <c r="F18" i="6"/>
  <c r="B5" i="11" l="1"/>
  <c r="B7" i="1" l="1"/>
  <c r="B8" i="1"/>
  <c r="B9" i="1"/>
  <c r="B10" i="1"/>
  <c r="B11" i="1"/>
  <c r="B12" i="1"/>
  <c r="B13" i="1"/>
  <c r="B14" i="1"/>
  <c r="B15" i="1"/>
  <c r="B16" i="1"/>
  <c r="B17" i="1"/>
  <c r="B18" i="1"/>
  <c r="D19" i="1" l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B21" i="1"/>
  <c r="B22" i="1"/>
  <c r="B23" i="1"/>
  <c r="B24" i="1"/>
  <c r="B25" i="1"/>
  <c r="B26" i="1"/>
  <c r="B27" i="1"/>
  <c r="B28" i="1"/>
  <c r="B20" i="1"/>
  <c r="B6" i="1"/>
  <c r="C22" i="7"/>
  <c r="D22" i="7"/>
  <c r="E22" i="7"/>
  <c r="D18" i="7"/>
  <c r="C18" i="7"/>
  <c r="B22" i="7"/>
  <c r="B21" i="7"/>
  <c r="E20" i="7"/>
  <c r="D20" i="7"/>
  <c r="C20" i="7"/>
  <c r="B20" i="7"/>
  <c r="G16" i="7" l="1"/>
  <c r="B17" i="7"/>
  <c r="AB29" i="3" l="1"/>
  <c r="AA29" i="3"/>
  <c r="AA32" i="3" l="1"/>
  <c r="AA31" i="3"/>
  <c r="AA30" i="3"/>
  <c r="AB28" i="3" l="1"/>
  <c r="AB27" i="3"/>
  <c r="AA22" i="3"/>
  <c r="AB22" i="3"/>
  <c r="L30" i="3" l="1"/>
  <c r="G14" i="7" l="1"/>
  <c r="AA28" i="3"/>
  <c r="AA27" i="3"/>
  <c r="AA26" i="3"/>
  <c r="AA25" i="3"/>
  <c r="AA24" i="3"/>
  <c r="AA23" i="3"/>
  <c r="AA12" i="3"/>
  <c r="AA11" i="3"/>
  <c r="N30" i="3"/>
  <c r="N31" i="3"/>
  <c r="N32" i="3"/>
  <c r="N33" i="3"/>
  <c r="N34" i="3"/>
  <c r="N35" i="3"/>
  <c r="N36" i="3"/>
  <c r="N37" i="3"/>
  <c r="L31" i="3"/>
  <c r="L32" i="3"/>
  <c r="L33" i="3"/>
  <c r="L34" i="3"/>
  <c r="L35" i="3"/>
  <c r="L36" i="3"/>
  <c r="L37" i="3"/>
  <c r="J30" i="3"/>
  <c r="J31" i="3"/>
  <c r="J32" i="3"/>
  <c r="J33" i="3"/>
  <c r="J34" i="3"/>
  <c r="J35" i="3"/>
  <c r="J36" i="3"/>
  <c r="J37" i="3"/>
  <c r="H30" i="3"/>
  <c r="H31" i="3"/>
  <c r="H32" i="3"/>
  <c r="H33" i="3"/>
  <c r="H34" i="3"/>
  <c r="H35" i="3"/>
  <c r="H36" i="3"/>
  <c r="H37" i="3"/>
  <c r="F30" i="3"/>
  <c r="F31" i="3"/>
  <c r="F32" i="3"/>
  <c r="F33" i="3"/>
  <c r="F34" i="3"/>
  <c r="F35" i="3"/>
  <c r="F36" i="3"/>
  <c r="F37" i="3"/>
  <c r="F41" i="3"/>
  <c r="D41" i="3" l="1"/>
  <c r="D37" i="3"/>
  <c r="D36" i="3"/>
  <c r="D35" i="3"/>
  <c r="D32" i="3"/>
  <c r="D31" i="3"/>
  <c r="D34" i="3"/>
  <c r="D30" i="3"/>
  <c r="D33" i="3"/>
  <c r="B15" i="7" l="1"/>
  <c r="B16" i="7"/>
  <c r="B14" i="7"/>
  <c r="J25" i="3"/>
  <c r="J26" i="3"/>
  <c r="J27" i="3"/>
  <c r="J28" i="3"/>
  <c r="J29" i="3"/>
  <c r="L25" i="3"/>
  <c r="L26" i="3"/>
  <c r="L27" i="3"/>
  <c r="L28" i="3"/>
  <c r="L29" i="3"/>
  <c r="N25" i="3"/>
  <c r="N26" i="3"/>
  <c r="N27" i="3"/>
  <c r="N28" i="3"/>
  <c r="N29" i="3"/>
  <c r="N24" i="3"/>
  <c r="J24" i="3"/>
  <c r="N23" i="3"/>
  <c r="J23" i="3"/>
  <c r="H23" i="3"/>
  <c r="O7" i="1"/>
  <c r="F11" i="6" l="1"/>
  <c r="AB9" i="3" l="1"/>
  <c r="AB5" i="3"/>
  <c r="AA9" i="3"/>
  <c r="N21" i="3"/>
  <c r="L21" i="3"/>
  <c r="J21" i="3"/>
  <c r="H21" i="3"/>
  <c r="F21" i="3"/>
  <c r="N22" i="3"/>
  <c r="L22" i="3"/>
  <c r="L23" i="3"/>
  <c r="L24" i="3"/>
  <c r="J22" i="3"/>
  <c r="J20" i="3"/>
  <c r="L20" i="3"/>
  <c r="AA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2" i="3"/>
  <c r="H24" i="3"/>
  <c r="H25" i="3"/>
  <c r="H26" i="3"/>
  <c r="H27" i="3"/>
  <c r="H28" i="3"/>
  <c r="H29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2" i="3"/>
  <c r="F23" i="3"/>
  <c r="F24" i="3"/>
  <c r="F25" i="3"/>
  <c r="F26" i="3"/>
  <c r="F27" i="3"/>
  <c r="F28" i="3"/>
  <c r="F29" i="3"/>
  <c r="N5" i="3"/>
  <c r="J5" i="3"/>
  <c r="L5" i="3"/>
  <c r="H5" i="3"/>
  <c r="F5" i="3"/>
  <c r="E51" i="3"/>
  <c r="G51" i="3"/>
  <c r="I51" i="3"/>
  <c r="K51" i="3"/>
  <c r="M51" i="3"/>
  <c r="E4" i="2"/>
  <c r="F4" i="2"/>
  <c r="G4" i="2"/>
  <c r="H4" i="2"/>
  <c r="C4" i="2"/>
  <c r="N5" i="1"/>
  <c r="O5" i="1"/>
  <c r="P5" i="1"/>
  <c r="Q5" i="1"/>
  <c r="R5" i="1"/>
  <c r="S5" i="1"/>
  <c r="K11" i="1"/>
  <c r="K6" i="1"/>
  <c r="K7" i="1"/>
  <c r="H13" i="1"/>
  <c r="H15" i="1"/>
  <c r="H7" i="1"/>
  <c r="H16" i="1"/>
  <c r="G9" i="1"/>
  <c r="G7" i="1"/>
  <c r="G13" i="1"/>
  <c r="G6" i="1"/>
  <c r="D5" i="1"/>
  <c r="E5" i="1"/>
  <c r="F5" i="1"/>
  <c r="I5" i="1"/>
  <c r="I4" i="1" s="1"/>
  <c r="J5" i="1"/>
  <c r="J4" i="1" s="1"/>
  <c r="L5" i="1"/>
  <c r="M5" i="1"/>
  <c r="C19" i="1"/>
  <c r="C5" i="1"/>
  <c r="B11" i="7" l="1"/>
  <c r="L7" i="12"/>
  <c r="M7" i="12" s="1"/>
  <c r="B4" i="7"/>
  <c r="D6" i="12"/>
  <c r="B10" i="7"/>
  <c r="L6" i="12"/>
  <c r="M6" i="12" s="1"/>
  <c r="B9" i="7"/>
  <c r="L5" i="12"/>
  <c r="M5" i="12" s="1"/>
  <c r="B3" i="7"/>
  <c r="D5" i="12"/>
  <c r="D15" i="3"/>
  <c r="C4" i="1"/>
  <c r="D12" i="3"/>
  <c r="D21" i="3"/>
  <c r="D24" i="3"/>
  <c r="D27" i="3"/>
  <c r="D7" i="3"/>
  <c r="D28" i="3"/>
  <c r="D23" i="3"/>
  <c r="D20" i="3"/>
  <c r="D19" i="3"/>
  <c r="D16" i="3"/>
  <c r="D11" i="3"/>
  <c r="D8" i="3"/>
  <c r="N51" i="3"/>
  <c r="C11" i="7" s="1"/>
  <c r="L51" i="3"/>
  <c r="C10" i="7" s="1"/>
  <c r="J51" i="3"/>
  <c r="C9" i="7" s="1"/>
  <c r="D26" i="3"/>
  <c r="D22" i="3"/>
  <c r="D18" i="3"/>
  <c r="D14" i="3"/>
  <c r="D10" i="3"/>
  <c r="D6" i="3"/>
  <c r="D29" i="3"/>
  <c r="D25" i="3"/>
  <c r="D17" i="3"/>
  <c r="D13" i="3"/>
  <c r="D9" i="3"/>
  <c r="H51" i="3"/>
  <c r="C4" i="7" s="1"/>
  <c r="F51" i="3"/>
  <c r="C3" i="7" s="1"/>
  <c r="S4" i="1"/>
  <c r="M4" i="1"/>
  <c r="G5" i="1"/>
  <c r="R4" i="1"/>
  <c r="P4" i="1"/>
  <c r="L4" i="1"/>
  <c r="K5" i="1"/>
  <c r="K4" i="1" s="1"/>
  <c r="O4" i="1"/>
  <c r="N4" i="1"/>
  <c r="D5" i="3"/>
  <c r="D4" i="2"/>
  <c r="B4" i="2"/>
  <c r="Q4" i="1"/>
  <c r="H5" i="1"/>
  <c r="H4" i="1" s="1"/>
  <c r="G4" i="1"/>
  <c r="F4" i="1"/>
  <c r="E4" i="1"/>
  <c r="D4" i="1"/>
  <c r="B19" i="1"/>
  <c r="C6" i="12" s="1"/>
  <c r="B8" i="7" l="1"/>
  <c r="B2" i="7"/>
  <c r="E6" i="12"/>
  <c r="C2" i="7"/>
  <c r="C8" i="7"/>
  <c r="D51" i="3"/>
  <c r="B5" i="1"/>
  <c r="M17" i="11"/>
  <c r="M16" i="11" s="1"/>
  <c r="M4" i="11" s="1"/>
  <c r="B16" i="11"/>
  <c r="B4" i="11" s="1"/>
  <c r="B4" i="1" l="1"/>
  <c r="C5" i="12"/>
  <c r="E5" i="12" s="1"/>
</calcChain>
</file>

<file path=xl/comments1.xml><?xml version="1.0" encoding="utf-8"?>
<comments xmlns="http://schemas.openxmlformats.org/spreadsheetml/2006/main">
  <authors>
    <author>Windows User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trả 2 C4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Trả 01 C4D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Trả 02 C5</t>
        </r>
      </text>
    </comment>
    <comment ref="H16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trả 01 C7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H16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nhận bồi dưỡng đồ thể dục </t>
        </r>
      </text>
    </comment>
  </commentList>
</comments>
</file>

<file path=xl/sharedStrings.xml><?xml version="1.0" encoding="utf-8"?>
<sst xmlns="http://schemas.openxmlformats.org/spreadsheetml/2006/main" count="359" uniqueCount="260">
  <si>
    <t>BẢNG KÊ NHẬP ÁO ĐỒNG PHỤC HSSV</t>
  </si>
  <si>
    <t>Ngày/ Size</t>
  </si>
  <si>
    <t>Tồn</t>
  </si>
  <si>
    <t>C3</t>
  </si>
  <si>
    <t>C3D</t>
  </si>
  <si>
    <t>C3D5</t>
  </si>
  <si>
    <t>C4</t>
  </si>
  <si>
    <t>C4D</t>
  </si>
  <si>
    <t>C4D5</t>
  </si>
  <si>
    <t>C5</t>
  </si>
  <si>
    <t>C5D</t>
  </si>
  <si>
    <t>C6</t>
  </si>
  <si>
    <t>C7</t>
  </si>
  <si>
    <t>C8</t>
  </si>
  <si>
    <t>C9</t>
  </si>
  <si>
    <t>NAM</t>
  </si>
  <si>
    <t>NỮ</t>
  </si>
  <si>
    <t>C2</t>
  </si>
  <si>
    <t>C2D</t>
  </si>
  <si>
    <t>C3H</t>
  </si>
  <si>
    <t>C3HD</t>
  </si>
  <si>
    <t>TỔNG</t>
  </si>
  <si>
    <t>C4N</t>
  </si>
  <si>
    <t>Tổng cộng</t>
  </si>
  <si>
    <t>19/7/16</t>
  </si>
  <si>
    <t>03/8/16</t>
  </si>
  <si>
    <t>05/8/16</t>
  </si>
  <si>
    <t>09/8/16</t>
  </si>
  <si>
    <t>15/8/16</t>
  </si>
  <si>
    <t>19/8/16</t>
  </si>
  <si>
    <t>23/8/16</t>
  </si>
  <si>
    <t>01/9/16</t>
  </si>
  <si>
    <t>07/9/16</t>
  </si>
  <si>
    <t>13/9/16</t>
  </si>
  <si>
    <t>20/9/16</t>
  </si>
  <si>
    <t>BẢNG KÊ NHẬP ĐỒNG PHỤC THỂ DỤC HSSV</t>
  </si>
  <si>
    <t>S</t>
  </si>
  <si>
    <t>M</t>
  </si>
  <si>
    <t>L</t>
  </si>
  <si>
    <t>XL</t>
  </si>
  <si>
    <t>2XL</t>
  </si>
  <si>
    <t>3XL</t>
  </si>
  <si>
    <t>4XL</t>
  </si>
  <si>
    <t>5XL</t>
  </si>
  <si>
    <t>BẢNG KÊ NỘP TIỀN VÀO PHÒNG KẾ HOẠCH - TÀI CHÍNH</t>
  </si>
  <si>
    <t>TT</t>
  </si>
  <si>
    <t>Áo nam</t>
  </si>
  <si>
    <t>Số lượng</t>
  </si>
  <si>
    <t>Thành tiền</t>
  </si>
  <si>
    <t>Áo nữ</t>
  </si>
  <si>
    <t>Đồ TD S, M, L</t>
  </si>
  <si>
    <t>Đồ TD XL, XXL</t>
  </si>
  <si>
    <t>Đồ TD 3XL, 4XL, 5XL</t>
  </si>
  <si>
    <t>Số
phiếu thu</t>
  </si>
  <si>
    <t>Ngày
nộp</t>
  </si>
  <si>
    <t>Số tiền</t>
  </si>
  <si>
    <t>02/8/2016</t>
  </si>
  <si>
    <t>T/K/08001</t>
  </si>
  <si>
    <t>03/8/2016</t>
  </si>
  <si>
    <t>T/K/08006</t>
  </si>
  <si>
    <t>08/8/2016</t>
  </si>
  <si>
    <t>T/K/08014</t>
  </si>
  <si>
    <t>09/8/2016</t>
  </si>
  <si>
    <t>T/K/08017</t>
  </si>
  <si>
    <t>11/8/2016</t>
  </si>
  <si>
    <t>T/K/08022</t>
  </si>
  <si>
    <t>12/8/2016</t>
  </si>
  <si>
    <t>T/K/08023</t>
  </si>
  <si>
    <t>16/8/2016</t>
  </si>
  <si>
    <t>T/K/08026</t>
  </si>
  <si>
    <t>17/8/2016</t>
  </si>
  <si>
    <t>19/8/2016</t>
  </si>
  <si>
    <t>T/K/08036</t>
  </si>
  <si>
    <t>20/8/2016</t>
  </si>
  <si>
    <t>T/K/08040</t>
  </si>
  <si>
    <t>23/8/2016</t>
  </si>
  <si>
    <t>T/K/08041</t>
  </si>
  <si>
    <t>24/8/2016</t>
  </si>
  <si>
    <t>T/K/08046</t>
  </si>
  <si>
    <t>26/8/2016</t>
  </si>
  <si>
    <t>T/K/08053</t>
  </si>
  <si>
    <t>30/8/2016</t>
  </si>
  <si>
    <t>T/K/08059</t>
  </si>
  <si>
    <t>05/9/2016</t>
  </si>
  <si>
    <t>T/K/09001</t>
  </si>
  <si>
    <t>16/9/2016</t>
  </si>
  <si>
    <t>T/K/09015</t>
  </si>
  <si>
    <t>12/9/2016</t>
  </si>
  <si>
    <t>T/K/09006</t>
  </si>
  <si>
    <t>20/9/2016</t>
  </si>
  <si>
    <t>T/K/09016</t>
  </si>
  <si>
    <t>TRƯỜNG CAO ĐẲNG KỸ THUẬT</t>
  </si>
  <si>
    <t>LÝ TỰ TRỌNG TP. HỒ CHÍ MINH</t>
  </si>
  <si>
    <t>CỘNG HOÀ XÃ HỘI CHỦ NGHĨA VIỆT NAM</t>
  </si>
  <si>
    <t>Độc lập - Tự do - Hạnh phúc</t>
  </si>
  <si>
    <t>BẢNG KÊ NỘP TIỀN BÁN ĐỒNG PHỤC HSSV NĂM HỌC 2016-2017</t>
  </si>
  <si>
    <t>Loại đồng phục</t>
  </si>
  <si>
    <t>ĐVT</t>
  </si>
  <si>
    <t>Đơn giá</t>
  </si>
  <si>
    <t>Ghi chú</t>
  </si>
  <si>
    <t>Đồ thể dục size 3XL, 4XL, 5XL</t>
  </si>
  <si>
    <t>Cái</t>
  </si>
  <si>
    <t>Bộ</t>
  </si>
  <si>
    <t>Người nộp tiền</t>
  </si>
  <si>
    <t>Nguyễn Thị Kim Anh</t>
  </si>
  <si>
    <t>PHÓ TRƯỞNG PHÒNG</t>
  </si>
  <si>
    <t>23/9/16</t>
  </si>
  <si>
    <t>23/9/2016</t>
  </si>
  <si>
    <t>T/K/09022</t>
  </si>
  <si>
    <t>27/9/2016</t>
  </si>
  <si>
    <t>T/K/09025</t>
  </si>
  <si>
    <t>Áo đã bán</t>
  </si>
  <si>
    <t>số lượng</t>
  </si>
  <si>
    <t>Đồ TD đã bán</t>
  </si>
  <si>
    <t>Size S, M, L</t>
  </si>
  <si>
    <t>Size XL, XXL</t>
  </si>
  <si>
    <t>Size 3XL, 4XL, 5XL</t>
  </si>
  <si>
    <t>Lần 1</t>
  </si>
  <si>
    <t>Cô Hoàng nhận
từ phòng KT</t>
  </si>
  <si>
    <t>TC</t>
  </si>
  <si>
    <t>Lần 2</t>
  </si>
  <si>
    <t>30/9/2016</t>
  </si>
  <si>
    <t>T/K/09033</t>
  </si>
  <si>
    <t>Hoàng Ngọc Cảnh</t>
  </si>
  <si>
    <t>Áo nam
135k</t>
  </si>
  <si>
    <t>Áo nữ
127k</t>
  </si>
  <si>
    <t>Thể dục
S, M, L
137,5k</t>
  </si>
  <si>
    <t>Thể dục
XL, XXL
143k</t>
  </si>
  <si>
    <r>
      <t xml:space="preserve">Thể dục
</t>
    </r>
    <r>
      <rPr>
        <b/>
        <sz val="11"/>
        <color theme="1"/>
        <rFont val="Times New Roman"/>
        <family val="1"/>
      </rPr>
      <t xml:space="preserve">3XL, 4XL,
5XL </t>
    </r>
    <r>
      <rPr>
        <b/>
        <sz val="12"/>
        <color theme="1"/>
        <rFont val="Times New Roman"/>
        <family val="1"/>
      </rPr>
      <t>165k</t>
    </r>
  </si>
  <si>
    <t>Áo
nam
135k</t>
  </si>
  <si>
    <t>Áo
nữ
127k</t>
  </si>
  <si>
    <t>05/10/2016</t>
  </si>
  <si>
    <t>T/K/10002</t>
  </si>
  <si>
    <t>T/K/10007</t>
  </si>
  <si>
    <t>10/10/2016</t>
  </si>
  <si>
    <t>PHÒNG CÔNG TÁC CHÍNH TRỊ</t>
  </si>
  <si>
    <t>12/10/2016</t>
  </si>
  <si>
    <t>T/K/10008</t>
  </si>
  <si>
    <t>T/K/10011</t>
  </si>
  <si>
    <t xml:space="preserve"> - HỌC SINH SINH VIÊN</t>
  </si>
  <si>
    <t>07/10/16</t>
  </si>
  <si>
    <t>04/10/16</t>
  </si>
  <si>
    <t>Phòng nhận</t>
  </si>
  <si>
    <t>Chị Thuận nhận từ
Phòng KT</t>
  </si>
  <si>
    <t>S,M,L</t>
  </si>
  <si>
    <t>XL,.XXL</t>
  </si>
  <si>
    <t>3XL,
4XL, 5XL</t>
  </si>
  <si>
    <t>14/10/2016</t>
  </si>
  <si>
    <t>T/K/10015</t>
  </si>
  <si>
    <t>17/10/2016</t>
  </si>
  <si>
    <t>T/K/10017</t>
  </si>
  <si>
    <t>08/10/2016</t>
  </si>
  <si>
    <t>19/10/2016</t>
  </si>
  <si>
    <t>T/K/10021</t>
  </si>
  <si>
    <t>27/10/2016</t>
  </si>
  <si>
    <t>T/K/10034</t>
  </si>
  <si>
    <t>07/11/2016</t>
  </si>
  <si>
    <t>19/10/16</t>
  </si>
  <si>
    <t>27/10/16</t>
  </si>
  <si>
    <t>Lần 3</t>
  </si>
  <si>
    <t>Lần 4</t>
  </si>
  <si>
    <t>17/11/2016</t>
  </si>
  <si>
    <t>T/K/11036</t>
  </si>
  <si>
    <t>T/K/11015</t>
  </si>
  <si>
    <t>T/K/12001</t>
  </si>
  <si>
    <t>05/12/2016</t>
  </si>
  <si>
    <t>Số
lượng</t>
  </si>
  <si>
    <t>06/01/2017</t>
  </si>
  <si>
    <t>T/K/ 01003</t>
  </si>
  <si>
    <t>BẢNG KÊ NHẬP ĐỒNG PHỤC BẢO HỘ LAO ĐỘNG HSSV</t>
  </si>
  <si>
    <t>ĐPTH nữ size C4,5</t>
  </si>
  <si>
    <t>ĐPTH nữ size C2,3</t>
  </si>
  <si>
    <t>ĐPTH nam size C7,8,9</t>
  </si>
  <si>
    <t>ĐPTH nam size C5,6</t>
  </si>
  <si>
    <t>ĐPTH nam size C4</t>
  </si>
  <si>
    <t>ĐPTH nam size C3</t>
  </si>
  <si>
    <t>12/01/2017</t>
  </si>
  <si>
    <t>T/K/ 01021</t>
  </si>
  <si>
    <t>12/01/16</t>
  </si>
  <si>
    <t>13/02/2017</t>
  </si>
  <si>
    <t>T/K/ 02004</t>
  </si>
  <si>
    <t>23/02/2017</t>
  </si>
  <si>
    <t>trắng</t>
  </si>
  <si>
    <t>TD</t>
  </si>
  <si>
    <t>Xanh</t>
  </si>
  <si>
    <t>07/3/2017</t>
  </si>
  <si>
    <t>T/K/03011</t>
  </si>
  <si>
    <t>10/3/2017</t>
  </si>
  <si>
    <t>T/K/03013</t>
  </si>
  <si>
    <t>06/12/2016</t>
  </si>
  <si>
    <t>07/01/17</t>
  </si>
  <si>
    <t>17/02/17</t>
  </si>
  <si>
    <t>03/3/17</t>
  </si>
  <si>
    <t>13/3/17</t>
  </si>
  <si>
    <t>15/3/2017</t>
  </si>
  <si>
    <t>T/K/03021</t>
  </si>
  <si>
    <t>BẢNG THỐNG KÊ SỐ NHẬP - XUẤT - TỒN KHO</t>
  </si>
  <si>
    <t>ÁO TRẮNG</t>
  </si>
  <si>
    <t>ÁO XANH</t>
  </si>
  <si>
    <t>THỂ DỤC</t>
  </si>
  <si>
    <t>NHẬP</t>
  </si>
  <si>
    <t>XUẤT</t>
  </si>
  <si>
    <t>TỒN</t>
  </si>
  <si>
    <t>SIZE</t>
  </si>
  <si>
    <t>ÁO NAM</t>
  </si>
  <si>
    <t>ÁO NỮ</t>
  </si>
  <si>
    <t>Tồn năm trước</t>
  </si>
  <si>
    <t>C3 nam</t>
  </si>
  <si>
    <t>C4 nam</t>
  </si>
  <si>
    <t>C5, C6 nam</t>
  </si>
  <si>
    <t>C7, C8, C9 nam</t>
  </si>
  <si>
    <t>C2, C3 nữ</t>
  </si>
  <si>
    <t>C4, C5 nữ</t>
  </si>
  <si>
    <t>S, M, L</t>
  </si>
  <si>
    <t>XL, 2XL</t>
  </si>
  <si>
    <t>3XL, 4XL, 5XL</t>
  </si>
  <si>
    <t>17/3/2017</t>
  </si>
  <si>
    <t>T/K/03027</t>
  </si>
  <si>
    <t>21/3/2017</t>
  </si>
  <si>
    <t>T/K/03031</t>
  </si>
  <si>
    <t>24/3/2017</t>
  </si>
  <si>
    <t>T/K/03036</t>
  </si>
  <si>
    <t>03/4/2017</t>
  </si>
  <si>
    <t>07/4/2017</t>
  </si>
  <si>
    <t>T/K/04018</t>
  </si>
  <si>
    <t>Bổ sung ngày 06/01/2017</t>
  </si>
  <si>
    <t>12/5/2017</t>
  </si>
  <si>
    <t>Xanh3</t>
  </si>
  <si>
    <t>xanh 4</t>
  </si>
  <si>
    <t>xanh 5,6</t>
  </si>
  <si>
    <t>xanh 7,8,9</t>
  </si>
  <si>
    <t>xanh nừ 2,3</t>
  </si>
  <si>
    <t>xanh nữ 4,5</t>
  </si>
  <si>
    <t>30/5/2017</t>
  </si>
  <si>
    <t>T/K/05005</t>
  </si>
  <si>
    <t>T/K/05035</t>
  </si>
  <si>
    <t>Áo trắng  nam
135.000</t>
  </si>
  <si>
    <t>Áo trắng  nữ
127.000</t>
  </si>
  <si>
    <t>Áo xanh nam
 C2, C3
135.000</t>
  </si>
  <si>
    <t>Áo xanh
nam
C4
140.000</t>
  </si>
  <si>
    <t>Áo xanh nam 
C5, C6
145.000</t>
  </si>
  <si>
    <t>Áo xanh nam
C7, C8, C9
150.000</t>
  </si>
  <si>
    <t>Áo xanh Nữ
 C2, C3
130.000</t>
  </si>
  <si>
    <t>Áo xanh Nữ
 C4, C5
135.000</t>
  </si>
  <si>
    <t>Đồ Thể dục
S, M
138.000</t>
  </si>
  <si>
    <t>Đồ Thể dục
3XL, 4XL, 5XL
165.000</t>
  </si>
  <si>
    <t>Đồ Thể dục
L, XL,
2XL
145.000</t>
  </si>
  <si>
    <t>TP. Hồ Chí Minh, ngày 23 tháng 6 năm 2017</t>
  </si>
  <si>
    <t>Đến ngày 23/6/2017</t>
  </si>
  <si>
    <t>Áo trắng nam</t>
  </si>
  <si>
    <t>Áo trắng nữ</t>
  </si>
  <si>
    <t>Áo thực hành nam size C3</t>
  </si>
  <si>
    <t>Áo thực hành nam size C4</t>
  </si>
  <si>
    <t>Áo thực hành nam size C5,6</t>
  </si>
  <si>
    <t>Áo thực hành nam size C7,8,9</t>
  </si>
  <si>
    <t>Áo thực hành nữ size C2,3</t>
  </si>
  <si>
    <t>Áo thực hành nữ size C4,5</t>
  </si>
  <si>
    <t>Đồ thể dục size S, M,</t>
  </si>
  <si>
    <t>Đồ thể dục size L, XL, XXL</t>
  </si>
  <si>
    <r>
      <t xml:space="preserve">Số tiền bằng chữ: </t>
    </r>
    <r>
      <rPr>
        <i/>
        <sz val="13"/>
        <color theme="1"/>
        <rFont val="Times New Roman"/>
        <family val="1"/>
      </rPr>
      <t>(Tám mươi bốn triệu sáu trăm năm mươi bốn nghìn đồng)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</si>
</sst>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2"/>
    </font>
    <font>
      <b/>
      <sz val="12"/>
      <color rgb="FFFF0000"/>
      <name val="Times New Roman"/>
      <family val="2"/>
    </font>
    <font>
      <sz val="12"/>
      <color theme="1"/>
      <name val="Times New Roman"/>
      <family val="1"/>
    </font>
    <font>
      <sz val="12"/>
      <name val="Times New Roman"/>
      <family val="2"/>
    </font>
    <font>
      <b/>
      <sz val="12"/>
      <name val="Times New Roman"/>
      <family val="2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0" fillId="0" borderId="0" xfId="0" quotePrefix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3" fontId="1" fillId="0" borderId="1" xfId="0" applyNumberFormat="1" applyFont="1" applyBorder="1" applyAlignment="1">
      <alignment vertical="center"/>
    </xf>
    <xf numFmtId="3" fontId="0" fillId="0" borderId="1" xfId="0" applyNumberFormat="1" applyBorder="1" applyAlignment="1">
      <alignment vertical="center"/>
    </xf>
    <xf numFmtId="3" fontId="0" fillId="0" borderId="0" xfId="0" applyNumberFormat="1"/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3" fontId="7" fillId="0" borderId="1" xfId="0" applyNumberFormat="1" applyFont="1" applyBorder="1"/>
    <xf numFmtId="3" fontId="6" fillId="0" borderId="1" xfId="0" applyNumberFormat="1" applyFont="1" applyBorder="1"/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1" xfId="0" applyFont="1" applyBorder="1" applyAlignment="1">
      <alignment horizontal="center"/>
    </xf>
    <xf numFmtId="3" fontId="0" fillId="2" borderId="1" xfId="0" applyNumberFormat="1" applyFill="1" applyBorder="1" applyAlignment="1">
      <alignment vertical="center"/>
    </xf>
    <xf numFmtId="3" fontId="1" fillId="0" borderId="0" xfId="0" applyNumberFormat="1" applyFont="1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3" fontId="11" fillId="0" borderId="1" xfId="0" applyNumberFormat="1" applyFont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3" fontId="10" fillId="2" borderId="1" xfId="0" applyNumberFormat="1" applyFont="1" applyFill="1" applyBorder="1" applyAlignment="1">
      <alignment vertical="center"/>
    </xf>
    <xf numFmtId="0" fontId="10" fillId="0" borderId="0" xfId="0" applyFont="1"/>
    <xf numFmtId="3" fontId="0" fillId="0" borderId="0" xfId="0" applyNumberFormat="1" applyAlignment="1">
      <alignment wrapText="1"/>
    </xf>
    <xf numFmtId="3" fontId="12" fillId="0" borderId="0" xfId="0" applyNumberFormat="1" applyFont="1"/>
    <xf numFmtId="3" fontId="10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3" fontId="14" fillId="0" borderId="1" xfId="0" applyNumberFormat="1" applyFont="1" applyBorder="1" applyAlignment="1">
      <alignment vertical="center"/>
    </xf>
    <xf numFmtId="3" fontId="13" fillId="0" borderId="1" xfId="0" applyNumberFormat="1" applyFont="1" applyBorder="1" applyAlignment="1">
      <alignment vertical="center"/>
    </xf>
    <xf numFmtId="0" fontId="13" fillId="0" borderId="0" xfId="0" applyFont="1"/>
    <xf numFmtId="0" fontId="1" fillId="0" borderId="1" xfId="0" applyFont="1" applyBorder="1"/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4" xfId="0" applyFill="1" applyBorder="1"/>
    <xf numFmtId="3" fontId="0" fillId="0" borderId="0" xfId="0" applyNumberFormat="1" applyBorder="1" applyAlignment="1">
      <alignment vertical="center"/>
    </xf>
    <xf numFmtId="3" fontId="10" fillId="0" borderId="0" xfId="0" applyNumberFormat="1" applyFont="1" applyBorder="1" applyAlignment="1">
      <alignment vertical="center"/>
    </xf>
    <xf numFmtId="3" fontId="13" fillId="0" borderId="0" xfId="0" applyNumberFormat="1" applyFont="1" applyBorder="1" applyAlignment="1">
      <alignment vertical="center"/>
    </xf>
    <xf numFmtId="3" fontId="10" fillId="3" borderId="0" xfId="0" applyNumberFormat="1" applyFont="1" applyFill="1" applyBorder="1" applyAlignment="1">
      <alignment vertical="center"/>
    </xf>
    <xf numFmtId="3" fontId="0" fillId="3" borderId="0" xfId="0" applyNumberFormat="1" applyFill="1" applyBorder="1" applyAlignment="1">
      <alignment vertical="center"/>
    </xf>
    <xf numFmtId="14" fontId="1" fillId="0" borderId="0" xfId="0" quotePrefix="1" applyNumberFormat="1" applyFont="1" applyAlignment="1">
      <alignment horizontal="center" vertical="center"/>
    </xf>
    <xf numFmtId="0" fontId="1" fillId="2" borderId="0" xfId="0" applyFont="1" applyFill="1"/>
    <xf numFmtId="0" fontId="1" fillId="0" borderId="1" xfId="0" applyFont="1" applyBorder="1" applyAlignment="1">
      <alignment horizontal="center" vertical="center"/>
    </xf>
    <xf numFmtId="3" fontId="1" fillId="2" borderId="0" xfId="0" applyNumberFormat="1" applyFont="1" applyFill="1"/>
    <xf numFmtId="3" fontId="15" fillId="2" borderId="0" xfId="0" applyNumberFormat="1" applyFont="1" applyFill="1"/>
    <xf numFmtId="0" fontId="4" fillId="0" borderId="0" xfId="0" applyFont="1" applyAlignment="1">
      <alignment horizontal="center"/>
    </xf>
    <xf numFmtId="0" fontId="0" fillId="2" borderId="0" xfId="0" applyFill="1"/>
    <xf numFmtId="0" fontId="0" fillId="2" borderId="0" xfId="0" quotePrefix="1" applyFill="1"/>
    <xf numFmtId="0" fontId="10" fillId="2" borderId="0" xfId="0" applyFont="1" applyFill="1"/>
    <xf numFmtId="0" fontId="1" fillId="0" borderId="0" xfId="0" quotePrefix="1" applyFont="1" applyBorder="1" applyAlignment="1">
      <alignment horizontal="center" vertical="center"/>
    </xf>
    <xf numFmtId="0" fontId="0" fillId="0" borderId="0" xfId="0" applyBorder="1"/>
    <xf numFmtId="14" fontId="1" fillId="0" borderId="0" xfId="0" quotePrefix="1" applyNumberFormat="1" applyFont="1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vertical="center"/>
    </xf>
    <xf numFmtId="3" fontId="0" fillId="2" borderId="0" xfId="0" applyNumberFormat="1" applyFill="1" applyBorder="1" applyAlignment="1">
      <alignment vertical="center"/>
    </xf>
    <xf numFmtId="3" fontId="10" fillId="2" borderId="0" xfId="0" applyNumberFormat="1" applyFont="1" applyFill="1"/>
    <xf numFmtId="3" fontId="0" fillId="2" borderId="0" xfId="0" applyNumberFormat="1" applyFill="1"/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4</xdr:row>
      <xdr:rowOff>19050</xdr:rowOff>
    </xdr:from>
    <xdr:to>
      <xdr:col>1</xdr:col>
      <xdr:colOff>1809750</xdr:colOff>
      <xdr:row>4</xdr:row>
      <xdr:rowOff>19050</xdr:rowOff>
    </xdr:to>
    <xdr:cxnSp macro="">
      <xdr:nvCxnSpPr>
        <xdr:cNvPr id="7" name="Straight Connector 6"/>
        <xdr:cNvCxnSpPr/>
      </xdr:nvCxnSpPr>
      <xdr:spPr>
        <a:xfrm>
          <a:off x="895350" y="8191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2</xdr:row>
      <xdr:rowOff>38100</xdr:rowOff>
    </xdr:from>
    <xdr:to>
      <xdr:col>5</xdr:col>
      <xdr:colOff>809625</xdr:colOff>
      <xdr:row>2</xdr:row>
      <xdr:rowOff>38100</xdr:rowOff>
    </xdr:to>
    <xdr:cxnSp macro="">
      <xdr:nvCxnSpPr>
        <xdr:cNvPr id="9" name="Straight Connector 8"/>
        <xdr:cNvCxnSpPr/>
      </xdr:nvCxnSpPr>
      <xdr:spPr>
        <a:xfrm>
          <a:off x="3914775" y="438150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28"/>
  <sheetViews>
    <sheetView workbookViewId="0">
      <pane xSplit="2" ySplit="4" topLeftCell="D17" activePane="bottomRight" state="frozen"/>
      <selection pane="topRight" activeCell="C1" sqref="C1"/>
      <selection pane="bottomLeft" activeCell="A5" sqref="A5"/>
      <selection pane="bottomRight" activeCell="J16" sqref="J16"/>
    </sheetView>
  </sheetViews>
  <sheetFormatPr defaultRowHeight="15.75" x14ac:dyDescent="0.25"/>
  <cols>
    <col min="1" max="2" width="12.75" customWidth="1"/>
    <col min="3" max="3" width="12.125" bestFit="1" customWidth="1"/>
    <col min="4" max="6" width="6.875" bestFit="1" customWidth="1"/>
    <col min="7" max="7" width="6.875" style="60" bestFit="1" customWidth="1"/>
    <col min="8" max="15" width="6.875" bestFit="1" customWidth="1"/>
    <col min="16" max="16" width="7.875" bestFit="1" customWidth="1"/>
  </cols>
  <sheetData>
    <row r="1" spans="1:19" x14ac:dyDescent="0.25">
      <c r="A1" t="s">
        <v>0</v>
      </c>
    </row>
    <row r="3" spans="1:19" x14ac:dyDescent="0.25">
      <c r="A3" t="s">
        <v>1</v>
      </c>
      <c r="B3" t="s">
        <v>21</v>
      </c>
      <c r="C3" t="s">
        <v>206</v>
      </c>
      <c r="D3" s="2" t="s">
        <v>24</v>
      </c>
      <c r="E3" s="2" t="s">
        <v>25</v>
      </c>
      <c r="F3" s="2" t="s">
        <v>26</v>
      </c>
      <c r="G3" s="61" t="s">
        <v>27</v>
      </c>
      <c r="H3" s="2" t="s">
        <v>28</v>
      </c>
      <c r="I3" s="2" t="s">
        <v>29</v>
      </c>
      <c r="J3" s="2" t="s">
        <v>30</v>
      </c>
      <c r="K3" s="2" t="s">
        <v>31</v>
      </c>
      <c r="L3" s="2" t="s">
        <v>32</v>
      </c>
      <c r="M3" s="2" t="s">
        <v>33</v>
      </c>
      <c r="N3" s="2" t="s">
        <v>34</v>
      </c>
      <c r="O3" s="2" t="s">
        <v>106</v>
      </c>
      <c r="P3" s="2" t="s">
        <v>140</v>
      </c>
      <c r="Q3" s="2" t="s">
        <v>157</v>
      </c>
    </row>
    <row r="4" spans="1:19" x14ac:dyDescent="0.25">
      <c r="A4" t="s">
        <v>23</v>
      </c>
      <c r="B4" s="1">
        <f>B5+B19</f>
        <v>8000</v>
      </c>
      <c r="C4" s="1">
        <f t="shared" ref="C4:N4" si="0">C5+C19</f>
        <v>162</v>
      </c>
      <c r="D4" s="1">
        <f t="shared" si="0"/>
        <v>1400</v>
      </c>
      <c r="E4" s="1">
        <f t="shared" si="0"/>
        <v>350</v>
      </c>
      <c r="F4" s="1">
        <f t="shared" si="0"/>
        <v>343</v>
      </c>
      <c r="G4" s="55">
        <f t="shared" si="0"/>
        <v>1791</v>
      </c>
      <c r="H4" s="1">
        <f t="shared" si="0"/>
        <v>778</v>
      </c>
      <c r="I4" s="1">
        <f t="shared" si="0"/>
        <v>400</v>
      </c>
      <c r="J4" s="1">
        <f t="shared" si="0"/>
        <v>414</v>
      </c>
      <c r="K4" s="1">
        <f t="shared" si="0"/>
        <v>846</v>
      </c>
      <c r="L4" s="1">
        <f t="shared" si="0"/>
        <v>387</v>
      </c>
      <c r="M4" s="1">
        <f t="shared" si="0"/>
        <v>169</v>
      </c>
      <c r="N4" s="1">
        <f t="shared" si="0"/>
        <v>415</v>
      </c>
      <c r="O4" s="1">
        <f t="shared" ref="O4" si="1">O5+O19</f>
        <v>335</v>
      </c>
      <c r="P4" s="1">
        <f t="shared" ref="P4" si="2">P5+P19</f>
        <v>100</v>
      </c>
      <c r="Q4" s="1">
        <f t="shared" ref="Q4" si="3">Q5+Q19</f>
        <v>110</v>
      </c>
      <c r="R4" s="1">
        <f t="shared" ref="R4" si="4">R5+R19</f>
        <v>0</v>
      </c>
      <c r="S4" s="1">
        <f t="shared" ref="S4" si="5">S5+S19</f>
        <v>0</v>
      </c>
    </row>
    <row r="5" spans="1:19" x14ac:dyDescent="0.25">
      <c r="A5" s="1" t="s">
        <v>15</v>
      </c>
      <c r="B5" s="1">
        <f>SUM(B6:B18)</f>
        <v>7306</v>
      </c>
      <c r="C5" s="1">
        <f>SUM(C6:C18)</f>
        <v>136</v>
      </c>
      <c r="D5" s="1">
        <f t="shared" ref="D5:M5" si="6">SUM(D6:D18)</f>
        <v>1200</v>
      </c>
      <c r="E5" s="1">
        <f t="shared" si="6"/>
        <v>350</v>
      </c>
      <c r="F5" s="1">
        <f t="shared" si="6"/>
        <v>333</v>
      </c>
      <c r="G5" s="55">
        <f t="shared" si="6"/>
        <v>1480</v>
      </c>
      <c r="H5" s="1">
        <f t="shared" si="6"/>
        <v>778</v>
      </c>
      <c r="I5" s="1">
        <f t="shared" si="6"/>
        <v>400</v>
      </c>
      <c r="J5" s="1">
        <f t="shared" si="6"/>
        <v>414</v>
      </c>
      <c r="K5" s="1">
        <f t="shared" si="6"/>
        <v>847</v>
      </c>
      <c r="L5" s="1">
        <f t="shared" si="6"/>
        <v>387</v>
      </c>
      <c r="M5" s="1">
        <f t="shared" si="6"/>
        <v>169</v>
      </c>
      <c r="N5" s="1">
        <f t="shared" ref="N5" si="7">SUM(N6:N18)</f>
        <v>327</v>
      </c>
      <c r="O5" s="1">
        <f t="shared" ref="O5" si="8">SUM(O6:O18)</f>
        <v>335</v>
      </c>
      <c r="P5" s="1">
        <f t="shared" ref="P5" si="9">SUM(P6:P18)</f>
        <v>100</v>
      </c>
      <c r="Q5" s="1">
        <f t="shared" ref="Q5" si="10">SUM(Q6:Q18)</f>
        <v>50</v>
      </c>
      <c r="R5" s="1">
        <f t="shared" ref="R5" si="11">SUM(R6:R18)</f>
        <v>0</v>
      </c>
      <c r="S5" s="1">
        <f t="shared" ref="S5" si="12">SUM(S6:S18)</f>
        <v>0</v>
      </c>
    </row>
    <row r="6" spans="1:19" x14ac:dyDescent="0.25">
      <c r="A6" t="s">
        <v>3</v>
      </c>
      <c r="B6">
        <f>SUM(C6:S6)</f>
        <v>900</v>
      </c>
      <c r="D6">
        <v>200</v>
      </c>
      <c r="G6" s="60">
        <f>150+150+100</f>
        <v>400</v>
      </c>
      <c r="K6">
        <f>150+150</f>
        <v>300</v>
      </c>
      <c r="N6" s="28"/>
    </row>
    <row r="7" spans="1:19" x14ac:dyDescent="0.25">
      <c r="A7" t="s">
        <v>4</v>
      </c>
      <c r="B7">
        <f t="shared" ref="B7:B18" si="13">SUM(C7:S7)</f>
        <v>1383</v>
      </c>
      <c r="C7">
        <v>2</v>
      </c>
      <c r="D7">
        <v>200</v>
      </c>
      <c r="F7">
        <v>100</v>
      </c>
      <c r="G7" s="60">
        <f>100+93</f>
        <v>193</v>
      </c>
      <c r="H7">
        <f>48+50</f>
        <v>98</v>
      </c>
      <c r="I7">
        <v>250</v>
      </c>
      <c r="K7">
        <f>28+100</f>
        <v>128</v>
      </c>
      <c r="L7">
        <v>150</v>
      </c>
      <c r="O7">
        <f>130+132</f>
        <v>262</v>
      </c>
    </row>
    <row r="8" spans="1:19" x14ac:dyDescent="0.25">
      <c r="A8" t="s">
        <v>5</v>
      </c>
      <c r="B8">
        <f t="shared" si="13"/>
        <v>182</v>
      </c>
      <c r="J8">
        <v>123</v>
      </c>
      <c r="K8">
        <v>59</v>
      </c>
    </row>
    <row r="9" spans="1:19" x14ac:dyDescent="0.25">
      <c r="A9" t="s">
        <v>6</v>
      </c>
      <c r="B9">
        <f t="shared" si="13"/>
        <v>1587</v>
      </c>
      <c r="C9">
        <v>15</v>
      </c>
      <c r="D9">
        <v>200</v>
      </c>
      <c r="E9">
        <v>100</v>
      </c>
      <c r="F9">
        <v>74</v>
      </c>
      <c r="G9" s="62">
        <f>150+150+100-2</f>
        <v>398</v>
      </c>
      <c r="H9">
        <v>150</v>
      </c>
      <c r="I9">
        <v>150</v>
      </c>
      <c r="J9">
        <v>150</v>
      </c>
      <c r="L9">
        <v>77</v>
      </c>
      <c r="N9">
        <v>150</v>
      </c>
      <c r="O9">
        <v>73</v>
      </c>
      <c r="Q9">
        <v>50</v>
      </c>
    </row>
    <row r="10" spans="1:19" x14ac:dyDescent="0.25">
      <c r="A10" t="s">
        <v>22</v>
      </c>
      <c r="B10">
        <f t="shared" si="13"/>
        <v>1</v>
      </c>
      <c r="C10">
        <v>1</v>
      </c>
    </row>
    <row r="11" spans="1:19" x14ac:dyDescent="0.25">
      <c r="A11" t="s">
        <v>7</v>
      </c>
      <c r="B11">
        <f t="shared" si="13"/>
        <v>542</v>
      </c>
      <c r="C11">
        <v>9</v>
      </c>
      <c r="D11">
        <v>130</v>
      </c>
      <c r="H11">
        <v>114</v>
      </c>
      <c r="K11">
        <f>122-1</f>
        <v>121</v>
      </c>
      <c r="L11">
        <v>60</v>
      </c>
      <c r="N11">
        <v>58</v>
      </c>
      <c r="P11">
        <v>50</v>
      </c>
    </row>
    <row r="12" spans="1:19" x14ac:dyDescent="0.25">
      <c r="A12" t="s">
        <v>8</v>
      </c>
      <c r="B12">
        <f t="shared" si="13"/>
        <v>112</v>
      </c>
      <c r="J12">
        <v>56</v>
      </c>
      <c r="K12">
        <v>56</v>
      </c>
    </row>
    <row r="13" spans="1:19" x14ac:dyDescent="0.25">
      <c r="A13" t="s">
        <v>9</v>
      </c>
      <c r="B13">
        <f t="shared" si="13"/>
        <v>1304</v>
      </c>
      <c r="D13">
        <v>200</v>
      </c>
      <c r="E13">
        <v>100</v>
      </c>
      <c r="F13">
        <v>100</v>
      </c>
      <c r="G13" s="60">
        <f>150+100+150</f>
        <v>400</v>
      </c>
      <c r="H13">
        <f>150+100-2</f>
        <v>248</v>
      </c>
      <c r="J13">
        <v>85</v>
      </c>
      <c r="L13">
        <v>60</v>
      </c>
      <c r="M13">
        <v>-1</v>
      </c>
      <c r="N13">
        <v>62</v>
      </c>
      <c r="P13">
        <v>50</v>
      </c>
    </row>
    <row r="14" spans="1:19" x14ac:dyDescent="0.25">
      <c r="A14" t="s">
        <v>10</v>
      </c>
      <c r="B14">
        <f t="shared" si="13"/>
        <v>256</v>
      </c>
      <c r="E14">
        <v>70</v>
      </c>
      <c r="K14">
        <v>129</v>
      </c>
      <c r="N14">
        <v>57</v>
      </c>
    </row>
    <row r="15" spans="1:19" x14ac:dyDescent="0.25">
      <c r="A15" t="s">
        <v>11</v>
      </c>
      <c r="B15">
        <f t="shared" si="13"/>
        <v>644</v>
      </c>
      <c r="C15">
        <v>18</v>
      </c>
      <c r="D15">
        <v>200</v>
      </c>
      <c r="E15">
        <v>80</v>
      </c>
      <c r="G15" s="60">
        <v>89</v>
      </c>
      <c r="H15">
        <f>46+61</f>
        <v>107</v>
      </c>
      <c r="L15">
        <v>40</v>
      </c>
      <c r="M15">
        <v>110</v>
      </c>
    </row>
    <row r="16" spans="1:19" x14ac:dyDescent="0.25">
      <c r="A16" t="s">
        <v>12</v>
      </c>
      <c r="B16">
        <f t="shared" si="13"/>
        <v>226</v>
      </c>
      <c r="C16">
        <v>41</v>
      </c>
      <c r="D16">
        <v>70</v>
      </c>
      <c r="H16">
        <f>62-1</f>
        <v>61</v>
      </c>
      <c r="K16">
        <v>54</v>
      </c>
    </row>
    <row r="17" spans="1:19" x14ac:dyDescent="0.25">
      <c r="A17" t="s">
        <v>13</v>
      </c>
      <c r="B17">
        <f t="shared" si="13"/>
        <v>71</v>
      </c>
      <c r="C17">
        <v>12</v>
      </c>
      <c r="F17">
        <v>29</v>
      </c>
      <c r="M17">
        <v>30</v>
      </c>
    </row>
    <row r="18" spans="1:19" x14ac:dyDescent="0.25">
      <c r="A18" t="s">
        <v>14</v>
      </c>
      <c r="B18">
        <f t="shared" si="13"/>
        <v>98</v>
      </c>
      <c r="C18">
        <v>38</v>
      </c>
      <c r="F18">
        <v>30</v>
      </c>
      <c r="M18">
        <v>30</v>
      </c>
    </row>
    <row r="19" spans="1:19" x14ac:dyDescent="0.25">
      <c r="A19" s="1" t="s">
        <v>16</v>
      </c>
      <c r="B19" s="1">
        <f>SUM(B20:B28)</f>
        <v>694</v>
      </c>
      <c r="C19" s="1">
        <f>SUM(C20:C28)</f>
        <v>26</v>
      </c>
      <c r="D19" s="1">
        <f t="shared" ref="D19:S19" si="14">SUM(D20:D28)</f>
        <v>200</v>
      </c>
      <c r="E19" s="1">
        <f t="shared" si="14"/>
        <v>0</v>
      </c>
      <c r="F19" s="1">
        <f t="shared" si="14"/>
        <v>10</v>
      </c>
      <c r="G19" s="55">
        <f t="shared" si="14"/>
        <v>311</v>
      </c>
      <c r="H19" s="1">
        <f t="shared" si="14"/>
        <v>0</v>
      </c>
      <c r="I19" s="1">
        <f t="shared" si="14"/>
        <v>0</v>
      </c>
      <c r="J19" s="1">
        <f t="shared" si="14"/>
        <v>0</v>
      </c>
      <c r="K19" s="1">
        <f t="shared" si="14"/>
        <v>-1</v>
      </c>
      <c r="L19" s="1">
        <f t="shared" si="14"/>
        <v>0</v>
      </c>
      <c r="M19" s="1">
        <f t="shared" si="14"/>
        <v>0</v>
      </c>
      <c r="N19" s="1">
        <f t="shared" si="14"/>
        <v>88</v>
      </c>
      <c r="O19" s="1">
        <f t="shared" si="14"/>
        <v>0</v>
      </c>
      <c r="P19" s="1">
        <f t="shared" si="14"/>
        <v>0</v>
      </c>
      <c r="Q19" s="1">
        <f t="shared" si="14"/>
        <v>60</v>
      </c>
      <c r="R19" s="1">
        <f t="shared" si="14"/>
        <v>0</v>
      </c>
      <c r="S19" s="1">
        <f t="shared" si="14"/>
        <v>0</v>
      </c>
    </row>
    <row r="20" spans="1:19" x14ac:dyDescent="0.25">
      <c r="A20" t="s">
        <v>17</v>
      </c>
      <c r="B20">
        <f>SUM(C20:S20)</f>
        <v>84</v>
      </c>
      <c r="C20">
        <v>5</v>
      </c>
      <c r="D20">
        <v>20</v>
      </c>
      <c r="G20" s="60">
        <v>20</v>
      </c>
      <c r="N20">
        <v>19</v>
      </c>
      <c r="Q20">
        <v>20</v>
      </c>
    </row>
    <row r="21" spans="1:19" x14ac:dyDescent="0.25">
      <c r="A21" t="s">
        <v>18</v>
      </c>
      <c r="B21">
        <f t="shared" ref="B21:B28" si="15">SUM(C21:S21)</f>
        <v>110</v>
      </c>
      <c r="D21">
        <v>30</v>
      </c>
      <c r="G21" s="60">
        <v>41</v>
      </c>
      <c r="N21">
        <v>19</v>
      </c>
      <c r="Q21">
        <v>20</v>
      </c>
    </row>
    <row r="22" spans="1:19" x14ac:dyDescent="0.25">
      <c r="A22" t="s">
        <v>3</v>
      </c>
      <c r="B22">
        <f t="shared" si="15"/>
        <v>130</v>
      </c>
      <c r="D22">
        <v>30</v>
      </c>
      <c r="G22" s="60">
        <v>50</v>
      </c>
      <c r="N22" s="28">
        <v>50</v>
      </c>
    </row>
    <row r="23" spans="1:19" x14ac:dyDescent="0.25">
      <c r="A23" t="s">
        <v>4</v>
      </c>
      <c r="B23">
        <f t="shared" si="15"/>
        <v>70</v>
      </c>
      <c r="D23">
        <v>30</v>
      </c>
      <c r="G23" s="60">
        <v>40</v>
      </c>
    </row>
    <row r="24" spans="1:19" x14ac:dyDescent="0.25">
      <c r="A24" t="s">
        <v>19</v>
      </c>
      <c r="B24">
        <f t="shared" si="15"/>
        <v>79</v>
      </c>
      <c r="C24">
        <v>8</v>
      </c>
      <c r="D24">
        <v>30</v>
      </c>
      <c r="G24" s="60">
        <v>42</v>
      </c>
      <c r="K24">
        <v>-1</v>
      </c>
    </row>
    <row r="25" spans="1:19" x14ac:dyDescent="0.25">
      <c r="A25" t="s">
        <v>20</v>
      </c>
      <c r="B25">
        <f t="shared" si="15"/>
        <v>92</v>
      </c>
      <c r="D25">
        <v>30</v>
      </c>
      <c r="G25" s="60">
        <v>42</v>
      </c>
      <c r="Q25">
        <v>20</v>
      </c>
    </row>
    <row r="26" spans="1:19" x14ac:dyDescent="0.25">
      <c r="A26" t="s">
        <v>6</v>
      </c>
      <c r="B26">
        <f t="shared" si="15"/>
        <v>92</v>
      </c>
      <c r="C26">
        <v>12</v>
      </c>
      <c r="D26">
        <v>30</v>
      </c>
      <c r="F26">
        <v>10</v>
      </c>
      <c r="G26" s="60">
        <v>40</v>
      </c>
    </row>
    <row r="27" spans="1:19" x14ac:dyDescent="0.25">
      <c r="A27" t="s">
        <v>7</v>
      </c>
      <c r="B27">
        <f t="shared" si="15"/>
        <v>19</v>
      </c>
      <c r="G27" s="60">
        <v>19</v>
      </c>
    </row>
    <row r="28" spans="1:19" x14ac:dyDescent="0.25">
      <c r="A28" t="s">
        <v>9</v>
      </c>
      <c r="B28">
        <f t="shared" si="15"/>
        <v>18</v>
      </c>
      <c r="C28">
        <v>1</v>
      </c>
      <c r="G28" s="60">
        <v>17</v>
      </c>
    </row>
  </sheetData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F15" sqref="F15"/>
    </sheetView>
  </sheetViews>
  <sheetFormatPr defaultRowHeight="15.75" x14ac:dyDescent="0.25"/>
  <cols>
    <col min="1" max="1" width="9.75" customWidth="1"/>
    <col min="4" max="6" width="9" customWidth="1"/>
    <col min="9" max="9" width="9.875" bestFit="1" customWidth="1"/>
  </cols>
  <sheetData>
    <row r="1" spans="1:11" ht="26.25" customHeight="1" x14ac:dyDescent="0.3">
      <c r="A1" s="75" t="s">
        <v>35</v>
      </c>
      <c r="B1" s="75"/>
      <c r="C1" s="75"/>
      <c r="D1" s="75"/>
      <c r="E1" s="75"/>
      <c r="F1" s="75"/>
      <c r="G1" s="75"/>
      <c r="H1" s="75"/>
    </row>
    <row r="3" spans="1:11" s="41" customFormat="1" ht="22.5" customHeight="1" x14ac:dyDescent="0.25">
      <c r="A3" s="32" t="s">
        <v>1</v>
      </c>
      <c r="B3" s="32" t="s">
        <v>21</v>
      </c>
      <c r="C3" s="32" t="s">
        <v>2</v>
      </c>
      <c r="D3" s="39" t="s">
        <v>31</v>
      </c>
      <c r="E3" s="39" t="s">
        <v>141</v>
      </c>
      <c r="F3" s="39" t="s">
        <v>140</v>
      </c>
      <c r="G3" s="39" t="s">
        <v>158</v>
      </c>
      <c r="H3" s="39" t="s">
        <v>158</v>
      </c>
      <c r="I3" s="54">
        <v>42808</v>
      </c>
      <c r="J3" s="40"/>
    </row>
    <row r="4" spans="1:11" ht="22.5" customHeight="1" x14ac:dyDescent="0.25">
      <c r="A4" s="32" t="s">
        <v>23</v>
      </c>
      <c r="B4" s="38">
        <f>SUM(B5:B12)</f>
        <v>3546</v>
      </c>
      <c r="C4" s="38">
        <f>SUM(C5:C12)</f>
        <v>235</v>
      </c>
      <c r="D4" s="38">
        <f t="shared" ref="D4:I4" si="0">SUM(D5:D12)</f>
        <v>1300</v>
      </c>
      <c r="E4" s="38">
        <f t="shared" si="0"/>
        <v>246</v>
      </c>
      <c r="F4" s="38">
        <f t="shared" si="0"/>
        <v>1672</v>
      </c>
      <c r="G4" s="38">
        <f t="shared" si="0"/>
        <v>-142</v>
      </c>
      <c r="H4" s="38">
        <f t="shared" si="0"/>
        <v>257</v>
      </c>
      <c r="I4" s="38">
        <f t="shared" si="0"/>
        <v>-22</v>
      </c>
      <c r="J4" s="55">
        <f>J5+J8+J10</f>
        <v>3546</v>
      </c>
      <c r="K4" s="1"/>
    </row>
    <row r="5" spans="1:11" ht="22.5" customHeight="1" x14ac:dyDescent="0.25">
      <c r="A5" s="32" t="s">
        <v>36</v>
      </c>
      <c r="B5" s="22">
        <f>SUM(C5:I5)</f>
        <v>369</v>
      </c>
      <c r="C5" s="22">
        <v>17</v>
      </c>
      <c r="D5" s="22">
        <f>90+90</f>
        <v>180</v>
      </c>
      <c r="E5" s="22"/>
      <c r="F5" s="22">
        <f>30+70+72</f>
        <v>172</v>
      </c>
      <c r="G5" s="22"/>
      <c r="H5" s="22"/>
      <c r="J5" s="28">
        <f>B5+B6+B7</f>
        <v>1707</v>
      </c>
    </row>
    <row r="6" spans="1:11" ht="22.5" customHeight="1" x14ac:dyDescent="0.25">
      <c r="A6" s="32" t="s">
        <v>37</v>
      </c>
      <c r="B6" s="22">
        <f t="shared" ref="B6:B12" si="1">SUM(C6:I6)</f>
        <v>378</v>
      </c>
      <c r="C6" s="22"/>
      <c r="D6" s="22">
        <f>80+80</f>
        <v>160</v>
      </c>
      <c r="E6" s="22"/>
      <c r="F6" s="22">
        <f>50+60+13+30</f>
        <v>153</v>
      </c>
      <c r="G6" s="22"/>
      <c r="H6" s="22">
        <v>67</v>
      </c>
      <c r="I6">
        <v>-2</v>
      </c>
    </row>
    <row r="7" spans="1:11" ht="22.5" customHeight="1" x14ac:dyDescent="0.25">
      <c r="A7" s="32" t="s">
        <v>38</v>
      </c>
      <c r="B7" s="22">
        <f t="shared" si="1"/>
        <v>960</v>
      </c>
      <c r="C7" s="22">
        <v>83</v>
      </c>
      <c r="D7" s="22">
        <f>50+60+80</f>
        <v>190</v>
      </c>
      <c r="E7" s="22"/>
      <c r="F7" s="22">
        <f>50+50+50+80+120+120+49+70+60</f>
        <v>649</v>
      </c>
      <c r="G7" s="22">
        <v>-6</v>
      </c>
      <c r="H7" s="22">
        <v>44</v>
      </c>
    </row>
    <row r="8" spans="1:11" ht="22.5" customHeight="1" x14ac:dyDescent="0.25">
      <c r="A8" s="32" t="s">
        <v>39</v>
      </c>
      <c r="B8" s="22">
        <f t="shared" si="1"/>
        <v>942</v>
      </c>
      <c r="C8" s="22">
        <v>66</v>
      </c>
      <c r="D8" s="22">
        <f>80+60+80</f>
        <v>220</v>
      </c>
      <c r="E8" s="22"/>
      <c r="F8" s="22">
        <f>49+110+50+50+50+50+110+110+9</f>
        <v>588</v>
      </c>
      <c r="G8" s="22">
        <v>-4</v>
      </c>
      <c r="H8" s="22">
        <v>72</v>
      </c>
      <c r="J8" s="28">
        <f>B8+B9</f>
        <v>1449</v>
      </c>
    </row>
    <row r="9" spans="1:11" ht="22.5" customHeight="1" x14ac:dyDescent="0.25">
      <c r="A9" s="32" t="s">
        <v>40</v>
      </c>
      <c r="B9" s="22">
        <f t="shared" si="1"/>
        <v>507</v>
      </c>
      <c r="C9" s="22">
        <v>12</v>
      </c>
      <c r="D9" s="22">
        <f>80+80+70+80+80</f>
        <v>390</v>
      </c>
      <c r="E9" s="22"/>
      <c r="F9" s="22">
        <f>110</f>
        <v>110</v>
      </c>
      <c r="G9" s="22">
        <v>-76</v>
      </c>
      <c r="H9" s="22">
        <v>74</v>
      </c>
      <c r="I9">
        <v>-3</v>
      </c>
    </row>
    <row r="10" spans="1:11" ht="22.5" customHeight="1" x14ac:dyDescent="0.25">
      <c r="A10" s="32" t="s">
        <v>41</v>
      </c>
      <c r="B10" s="22">
        <f t="shared" si="1"/>
        <v>278</v>
      </c>
      <c r="C10" s="22">
        <v>40</v>
      </c>
      <c r="D10" s="22">
        <f>80+80</f>
        <v>160</v>
      </c>
      <c r="E10" s="22">
        <f>90+7</f>
        <v>97</v>
      </c>
      <c r="F10" s="22"/>
      <c r="G10" s="22">
        <v>-2</v>
      </c>
      <c r="H10" s="22"/>
      <c r="I10">
        <v>-17</v>
      </c>
      <c r="J10" s="28">
        <f>B10+B11+B12</f>
        <v>390</v>
      </c>
    </row>
    <row r="11" spans="1:11" ht="22.5" customHeight="1" x14ac:dyDescent="0.25">
      <c r="A11" s="32" t="s">
        <v>42</v>
      </c>
      <c r="B11" s="22">
        <f t="shared" si="1"/>
        <v>85</v>
      </c>
      <c r="C11" s="22">
        <v>17</v>
      </c>
      <c r="D11" s="22"/>
      <c r="E11" s="22">
        <f>60+8</f>
        <v>68</v>
      </c>
      <c r="F11" s="22"/>
      <c r="G11" s="22"/>
      <c r="H11" s="22"/>
    </row>
    <row r="12" spans="1:11" ht="22.5" customHeight="1" x14ac:dyDescent="0.25">
      <c r="A12" s="32" t="s">
        <v>43</v>
      </c>
      <c r="B12" s="22">
        <f t="shared" si="1"/>
        <v>27</v>
      </c>
      <c r="C12" s="22"/>
      <c r="D12" s="22"/>
      <c r="E12" s="22">
        <f>40+40+1</f>
        <v>81</v>
      </c>
      <c r="F12" s="22"/>
      <c r="G12" s="22">
        <v>-54</v>
      </c>
      <c r="H12" s="22"/>
    </row>
  </sheetData>
  <mergeCells count="1">
    <mergeCell ref="A1:H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K12" sqref="K12"/>
    </sheetView>
  </sheetViews>
  <sheetFormatPr defaultRowHeight="15.75" x14ac:dyDescent="0.25"/>
  <cols>
    <col min="1" max="1" width="9.75" customWidth="1"/>
    <col min="3" max="3" width="9.5" customWidth="1"/>
    <col min="4" max="5" width="9" customWidth="1"/>
    <col min="9" max="9" width="9.875" bestFit="1" customWidth="1"/>
    <col min="10" max="11" width="9.875" customWidth="1"/>
  </cols>
  <sheetData>
    <row r="1" spans="1:15" ht="26.25" customHeight="1" x14ac:dyDescent="0.3">
      <c r="A1" s="75" t="s">
        <v>169</v>
      </c>
      <c r="B1" s="75"/>
      <c r="C1" s="75"/>
      <c r="D1" s="75"/>
      <c r="E1" s="75"/>
      <c r="F1" s="75"/>
      <c r="G1" s="75"/>
      <c r="H1" s="75"/>
      <c r="I1" s="59"/>
      <c r="J1" s="67"/>
      <c r="K1" s="67"/>
      <c r="L1" s="59"/>
    </row>
    <row r="3" spans="1:15" s="41" customFormat="1" ht="22.5" customHeight="1" x14ac:dyDescent="0.25">
      <c r="A3" s="44" t="s">
        <v>1</v>
      </c>
      <c r="B3" s="44" t="s">
        <v>21</v>
      </c>
      <c r="C3" s="39" t="s">
        <v>189</v>
      </c>
      <c r="D3" s="39" t="s">
        <v>178</v>
      </c>
      <c r="E3" s="39" t="s">
        <v>190</v>
      </c>
      <c r="F3" s="39" t="s">
        <v>191</v>
      </c>
      <c r="G3" s="39" t="s">
        <v>192</v>
      </c>
      <c r="H3" s="39" t="s">
        <v>193</v>
      </c>
      <c r="I3" s="65">
        <v>42815</v>
      </c>
      <c r="J3" s="65">
        <v>42822</v>
      </c>
      <c r="K3" s="65" t="s">
        <v>222</v>
      </c>
      <c r="L3" s="63"/>
      <c r="M3" s="40"/>
      <c r="N3" s="40"/>
    </row>
    <row r="4" spans="1:15" ht="22.5" customHeight="1" x14ac:dyDescent="0.25">
      <c r="A4" s="44" t="s">
        <v>23</v>
      </c>
      <c r="B4" s="38">
        <f>B5+B16</f>
        <v>3440</v>
      </c>
      <c r="C4" s="38">
        <f>C5+C16</f>
        <v>612</v>
      </c>
      <c r="D4" s="38">
        <f t="shared" ref="D4:M4" si="0">D5+D16</f>
        <v>429</v>
      </c>
      <c r="E4" s="38">
        <f t="shared" si="0"/>
        <v>311</v>
      </c>
      <c r="F4" s="38">
        <f t="shared" si="0"/>
        <v>347</v>
      </c>
      <c r="G4" s="38">
        <f t="shared" si="0"/>
        <v>363</v>
      </c>
      <c r="H4" s="38">
        <f t="shared" si="0"/>
        <v>393</v>
      </c>
      <c r="I4" s="38">
        <f t="shared" si="0"/>
        <v>426</v>
      </c>
      <c r="J4" s="38">
        <f t="shared" si="0"/>
        <v>186</v>
      </c>
      <c r="K4" s="38">
        <f t="shared" si="0"/>
        <v>373</v>
      </c>
      <c r="L4" s="38">
        <f t="shared" si="0"/>
        <v>0</v>
      </c>
      <c r="M4" s="38">
        <f t="shared" si="0"/>
        <v>3440</v>
      </c>
      <c r="N4" s="1"/>
      <c r="O4" s="1"/>
    </row>
    <row r="5" spans="1:15" ht="23.25" customHeight="1" x14ac:dyDescent="0.25">
      <c r="A5" s="44" t="s">
        <v>15</v>
      </c>
      <c r="B5" s="38">
        <f>SUM(B6:B15)</f>
        <v>2945</v>
      </c>
      <c r="C5" s="38">
        <f t="shared" ref="C5:F5" si="1">SUM(C6:C15)</f>
        <v>612</v>
      </c>
      <c r="D5" s="38">
        <f t="shared" si="1"/>
        <v>0</v>
      </c>
      <c r="E5" s="38">
        <f t="shared" si="1"/>
        <v>311</v>
      </c>
      <c r="F5" s="38">
        <f t="shared" si="1"/>
        <v>307</v>
      </c>
      <c r="G5" s="38">
        <f t="shared" ref="G5" si="2">SUM(G6:G15)</f>
        <v>363</v>
      </c>
      <c r="H5" s="38">
        <f t="shared" ref="H5:M5" si="3">SUM(H6:H15)</f>
        <v>393</v>
      </c>
      <c r="I5" s="38">
        <f t="shared" si="3"/>
        <v>400</v>
      </c>
      <c r="J5" s="38">
        <f t="shared" si="3"/>
        <v>186</v>
      </c>
      <c r="K5" s="38">
        <f t="shared" si="3"/>
        <v>373</v>
      </c>
      <c r="L5" s="38">
        <f t="shared" si="3"/>
        <v>0</v>
      </c>
      <c r="M5" s="38">
        <f t="shared" si="3"/>
        <v>2945</v>
      </c>
      <c r="N5" s="1"/>
      <c r="O5" s="1"/>
    </row>
    <row r="6" spans="1:15" ht="23.25" customHeight="1" x14ac:dyDescent="0.25">
      <c r="A6" s="44" t="s">
        <v>3</v>
      </c>
      <c r="B6" s="22">
        <f>SUM(C6:L6)</f>
        <v>245</v>
      </c>
      <c r="C6" s="22">
        <v>24</v>
      </c>
      <c r="D6" s="22"/>
      <c r="E6" s="22"/>
      <c r="F6" s="22">
        <v>51</v>
      </c>
      <c r="G6" s="22"/>
      <c r="H6" s="22">
        <v>52</v>
      </c>
      <c r="I6" s="64"/>
      <c r="J6" s="64">
        <v>118</v>
      </c>
      <c r="K6" s="64"/>
      <c r="L6" s="64"/>
      <c r="M6">
        <f>B6+B7</f>
        <v>392</v>
      </c>
    </row>
    <row r="7" spans="1:15" ht="23.25" customHeight="1" x14ac:dyDescent="0.25">
      <c r="A7" s="56" t="s">
        <v>4</v>
      </c>
      <c r="B7" s="22">
        <f t="shared" ref="B7:B15" si="4">SUM(C7:L7)</f>
        <v>147</v>
      </c>
      <c r="C7" s="22"/>
      <c r="D7" s="22"/>
      <c r="E7" s="22">
        <v>66</v>
      </c>
      <c r="F7" s="22"/>
      <c r="G7" s="22">
        <v>40</v>
      </c>
      <c r="H7" s="22">
        <v>41</v>
      </c>
      <c r="I7" s="64"/>
      <c r="J7" s="64"/>
      <c r="K7" s="64"/>
      <c r="L7" s="64"/>
    </row>
    <row r="8" spans="1:15" ht="23.25" customHeight="1" x14ac:dyDescent="0.25">
      <c r="A8" s="44" t="s">
        <v>6</v>
      </c>
      <c r="B8" s="22">
        <f t="shared" si="4"/>
        <v>841</v>
      </c>
      <c r="C8" s="22">
        <f>53+46+67+55</f>
        <v>221</v>
      </c>
      <c r="D8" s="22"/>
      <c r="E8" s="22">
        <v>68</v>
      </c>
      <c r="F8" s="22">
        <v>130</v>
      </c>
      <c r="G8" s="22"/>
      <c r="H8" s="22">
        <v>150</v>
      </c>
      <c r="I8" s="48">
        <v>126</v>
      </c>
      <c r="J8" s="66"/>
      <c r="K8" s="66">
        <v>146</v>
      </c>
      <c r="L8" s="64"/>
      <c r="M8">
        <f>B8+B9</f>
        <v>1138</v>
      </c>
    </row>
    <row r="9" spans="1:15" ht="23.25" customHeight="1" x14ac:dyDescent="0.25">
      <c r="A9" s="56" t="s">
        <v>7</v>
      </c>
      <c r="B9" s="22">
        <f t="shared" si="4"/>
        <v>297</v>
      </c>
      <c r="C9" s="22"/>
      <c r="D9" s="22"/>
      <c r="E9" s="22">
        <v>68</v>
      </c>
      <c r="F9" s="22"/>
      <c r="G9" s="22">
        <v>149</v>
      </c>
      <c r="H9" s="22"/>
      <c r="I9" s="64">
        <v>80</v>
      </c>
      <c r="J9" s="64"/>
      <c r="K9" s="64"/>
      <c r="L9" s="64"/>
    </row>
    <row r="10" spans="1:15" ht="23.25" customHeight="1" x14ac:dyDescent="0.25">
      <c r="A10" s="44" t="s">
        <v>9</v>
      </c>
      <c r="B10" s="22">
        <f t="shared" si="4"/>
        <v>744</v>
      </c>
      <c r="C10" s="22">
        <f>46+60+62+53</f>
        <v>221</v>
      </c>
      <c r="D10" s="22"/>
      <c r="E10" s="22"/>
      <c r="F10" s="22">
        <v>126</v>
      </c>
      <c r="G10" s="22"/>
      <c r="H10" s="22">
        <v>150</v>
      </c>
      <c r="I10" s="64">
        <v>20</v>
      </c>
      <c r="J10" s="66">
        <v>68</v>
      </c>
      <c r="K10" s="66">
        <v>159</v>
      </c>
      <c r="L10" s="64"/>
      <c r="M10">
        <f>B10+B11+B12</f>
        <v>1202</v>
      </c>
    </row>
    <row r="11" spans="1:15" ht="23.25" customHeight="1" x14ac:dyDescent="0.25">
      <c r="A11" s="56" t="s">
        <v>10</v>
      </c>
      <c r="B11" s="22">
        <f t="shared" si="4"/>
        <v>138</v>
      </c>
      <c r="C11" s="22"/>
      <c r="D11" s="22"/>
      <c r="E11" s="22"/>
      <c r="F11" s="22"/>
      <c r="G11" s="22">
        <v>70</v>
      </c>
      <c r="H11" s="22"/>
      <c r="I11" s="64"/>
      <c r="J11" s="64"/>
      <c r="K11" s="64">
        <v>68</v>
      </c>
      <c r="L11" s="64"/>
    </row>
    <row r="12" spans="1:15" ht="23.25" customHeight="1" x14ac:dyDescent="0.25">
      <c r="A12" s="44" t="s">
        <v>11</v>
      </c>
      <c r="B12" s="22">
        <f t="shared" si="4"/>
        <v>320</v>
      </c>
      <c r="C12" s="22">
        <f>55+66+25</f>
        <v>146</v>
      </c>
      <c r="D12" s="22"/>
      <c r="E12" s="22"/>
      <c r="F12" s="22"/>
      <c r="G12" s="22"/>
      <c r="H12" s="22"/>
      <c r="I12" s="66">
        <v>174</v>
      </c>
      <c r="J12" s="66"/>
      <c r="K12" s="66"/>
      <c r="L12" s="64"/>
    </row>
    <row r="13" spans="1:15" ht="23.25" customHeight="1" x14ac:dyDescent="0.25">
      <c r="A13" s="44" t="s">
        <v>12</v>
      </c>
      <c r="B13" s="22">
        <f t="shared" si="4"/>
        <v>109</v>
      </c>
      <c r="C13" s="22"/>
      <c r="D13" s="22"/>
      <c r="E13" s="22">
        <v>109</v>
      </c>
      <c r="F13" s="22"/>
      <c r="G13" s="22"/>
      <c r="H13" s="22"/>
      <c r="I13" s="64"/>
      <c r="J13" s="64"/>
      <c r="K13" s="64"/>
      <c r="L13" s="64"/>
      <c r="M13">
        <f>B13+B14+B15</f>
        <v>213</v>
      </c>
    </row>
    <row r="14" spans="1:15" ht="23.25" customHeight="1" x14ac:dyDescent="0.25">
      <c r="A14" s="44" t="s">
        <v>13</v>
      </c>
      <c r="B14" s="22">
        <f t="shared" si="4"/>
        <v>52</v>
      </c>
      <c r="C14" s="22"/>
      <c r="D14" s="22"/>
      <c r="E14" s="22"/>
      <c r="F14" s="22"/>
      <c r="G14" s="22">
        <v>52</v>
      </c>
      <c r="H14" s="22"/>
      <c r="I14" s="64"/>
      <c r="J14" s="64"/>
      <c r="K14" s="64"/>
      <c r="L14" s="64"/>
    </row>
    <row r="15" spans="1:15" ht="23.25" customHeight="1" x14ac:dyDescent="0.25">
      <c r="A15" s="44" t="s">
        <v>14</v>
      </c>
      <c r="B15" s="22">
        <f t="shared" si="4"/>
        <v>52</v>
      </c>
      <c r="C15" s="22"/>
      <c r="D15" s="22"/>
      <c r="E15" s="22"/>
      <c r="F15" s="22"/>
      <c r="G15" s="22">
        <v>52</v>
      </c>
      <c r="H15" s="22"/>
      <c r="I15" s="64"/>
      <c r="J15" s="64"/>
      <c r="K15" s="64"/>
      <c r="L15" s="64"/>
    </row>
    <row r="16" spans="1:15" ht="23.25" customHeight="1" x14ac:dyDescent="0.25">
      <c r="A16" s="44" t="s">
        <v>16</v>
      </c>
      <c r="B16" s="38">
        <f>SUM(B17:B24)</f>
        <v>495</v>
      </c>
      <c r="C16" s="38">
        <f t="shared" ref="C16:M16" si="5">SUM(C17:C24)</f>
        <v>0</v>
      </c>
      <c r="D16" s="38">
        <f t="shared" si="5"/>
        <v>429</v>
      </c>
      <c r="E16" s="38">
        <f t="shared" si="5"/>
        <v>0</v>
      </c>
      <c r="F16" s="38">
        <f t="shared" si="5"/>
        <v>40</v>
      </c>
      <c r="G16" s="38">
        <f t="shared" si="5"/>
        <v>0</v>
      </c>
      <c r="H16" s="38">
        <f t="shared" si="5"/>
        <v>0</v>
      </c>
      <c r="I16" s="38">
        <f t="shared" si="5"/>
        <v>26</v>
      </c>
      <c r="J16" s="38">
        <f t="shared" si="5"/>
        <v>0</v>
      </c>
      <c r="K16" s="38">
        <f t="shared" si="5"/>
        <v>0</v>
      </c>
      <c r="L16" s="38">
        <f t="shared" si="5"/>
        <v>0</v>
      </c>
      <c r="M16" s="38">
        <f t="shared" si="5"/>
        <v>495</v>
      </c>
    </row>
    <row r="17" spans="1:13" ht="23.25" customHeight="1" x14ac:dyDescent="0.25">
      <c r="A17" s="47" t="s">
        <v>17</v>
      </c>
      <c r="B17" s="48">
        <f>SUM(C17:L17)</f>
        <v>65</v>
      </c>
      <c r="D17">
        <v>64</v>
      </c>
      <c r="I17">
        <v>1</v>
      </c>
      <c r="M17">
        <f>B17+B18+B19+B20+B21+B22</f>
        <v>368</v>
      </c>
    </row>
    <row r="18" spans="1:13" ht="23.25" customHeight="1" x14ac:dyDescent="0.25">
      <c r="A18" s="47" t="s">
        <v>18</v>
      </c>
      <c r="B18" s="48">
        <f t="shared" ref="B18:B24" si="6">SUM(C18:L18)</f>
        <v>38</v>
      </c>
      <c r="D18">
        <v>38</v>
      </c>
    </row>
    <row r="19" spans="1:13" ht="23.25" customHeight="1" x14ac:dyDescent="0.25">
      <c r="A19" s="47" t="s">
        <v>3</v>
      </c>
      <c r="B19" s="48">
        <f t="shared" si="6"/>
        <v>39</v>
      </c>
      <c r="D19">
        <v>39</v>
      </c>
    </row>
    <row r="20" spans="1:13" ht="23.25" customHeight="1" x14ac:dyDescent="0.25">
      <c r="A20" s="47" t="s">
        <v>19</v>
      </c>
      <c r="B20" s="48">
        <f t="shared" si="6"/>
        <v>126</v>
      </c>
      <c r="D20">
        <v>126</v>
      </c>
    </row>
    <row r="21" spans="1:13" ht="23.25" customHeight="1" x14ac:dyDescent="0.25">
      <c r="A21" s="47" t="s">
        <v>20</v>
      </c>
      <c r="B21" s="48">
        <f t="shared" si="6"/>
        <v>39</v>
      </c>
      <c r="D21">
        <v>39</v>
      </c>
    </row>
    <row r="22" spans="1:13" ht="23.25" customHeight="1" x14ac:dyDescent="0.25">
      <c r="A22" s="47" t="s">
        <v>4</v>
      </c>
      <c r="B22" s="48">
        <f t="shared" si="6"/>
        <v>61</v>
      </c>
      <c r="D22">
        <v>61</v>
      </c>
    </row>
    <row r="23" spans="1:13" ht="23.25" customHeight="1" x14ac:dyDescent="0.25">
      <c r="A23" s="47" t="s">
        <v>6</v>
      </c>
      <c r="B23" s="48">
        <f t="shared" si="6"/>
        <v>65</v>
      </c>
      <c r="D23">
        <v>40</v>
      </c>
      <c r="I23">
        <v>25</v>
      </c>
      <c r="M23">
        <f>B23+B24</f>
        <v>127</v>
      </c>
    </row>
    <row r="24" spans="1:13" ht="23.25" customHeight="1" x14ac:dyDescent="0.25">
      <c r="A24" s="47" t="s">
        <v>7</v>
      </c>
      <c r="B24" s="48">
        <f t="shared" si="6"/>
        <v>62</v>
      </c>
      <c r="D24">
        <f>14+8</f>
        <v>22</v>
      </c>
      <c r="F24">
        <v>40</v>
      </c>
    </row>
  </sheetData>
  <mergeCells count="1">
    <mergeCell ref="A1:H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1"/>
  <sheetViews>
    <sheetView workbookViewId="0">
      <pane xSplit="4" ySplit="4" topLeftCell="S35" activePane="bottomRight" state="frozen"/>
      <selection pane="topRight" activeCell="E1" sqref="E1"/>
      <selection pane="bottomLeft" activeCell="A5" sqref="A5"/>
      <selection pane="bottomRight" activeCell="X45" sqref="X45"/>
    </sheetView>
  </sheetViews>
  <sheetFormatPr defaultRowHeight="15.75" x14ac:dyDescent="0.25"/>
  <cols>
    <col min="1" max="1" width="4.5" customWidth="1"/>
    <col min="2" max="2" width="11" customWidth="1"/>
    <col min="4" max="4" width="12.375" bestFit="1" customWidth="1"/>
    <col min="5" max="5" width="9.125" bestFit="1" customWidth="1"/>
    <col min="6" max="6" width="10.625" customWidth="1"/>
    <col min="7" max="7" width="9.125" bestFit="1" customWidth="1"/>
    <col min="8" max="8" width="9.875" bestFit="1" customWidth="1"/>
    <col min="9" max="9" width="9.125" bestFit="1" customWidth="1"/>
    <col min="10" max="10" width="10.875" bestFit="1" customWidth="1"/>
    <col min="11" max="11" width="9.125" bestFit="1" customWidth="1"/>
    <col min="12" max="12" width="10.875" bestFit="1" customWidth="1"/>
    <col min="13" max="13" width="9.125" bestFit="1" customWidth="1"/>
    <col min="14" max="14" width="11.125" customWidth="1"/>
    <col min="15" max="15" width="7.625" customWidth="1"/>
    <col min="16" max="16" width="11.125" customWidth="1"/>
    <col min="17" max="17" width="7.25" customWidth="1"/>
    <col min="18" max="18" width="12" customWidth="1"/>
    <col min="19" max="19" width="7.5" customWidth="1"/>
    <col min="20" max="20" width="11.125" customWidth="1"/>
    <col min="21" max="21" width="7.75" customWidth="1"/>
    <col min="22" max="22" width="10.5" customWidth="1"/>
    <col min="23" max="23" width="7.75" customWidth="1"/>
    <col min="24" max="24" width="11.125" customWidth="1"/>
    <col min="25" max="25" width="8.375" customWidth="1"/>
    <col min="26" max="26" width="11.125" customWidth="1"/>
    <col min="27" max="27" width="10.875" bestFit="1" customWidth="1"/>
  </cols>
  <sheetData>
    <row r="1" spans="1:28" ht="18.75" x14ac:dyDescent="0.3">
      <c r="A1" s="75" t="s">
        <v>44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3" spans="1:28" x14ac:dyDescent="0.25">
      <c r="A3" s="78" t="s">
        <v>45</v>
      </c>
      <c r="B3" s="79" t="s">
        <v>54</v>
      </c>
      <c r="C3" s="79" t="s">
        <v>53</v>
      </c>
      <c r="D3" s="79" t="s">
        <v>55</v>
      </c>
      <c r="E3" s="78" t="s">
        <v>46</v>
      </c>
      <c r="F3" s="78"/>
      <c r="G3" s="78" t="s">
        <v>49</v>
      </c>
      <c r="H3" s="78"/>
      <c r="I3" s="78" t="s">
        <v>50</v>
      </c>
      <c r="J3" s="78"/>
      <c r="K3" s="78" t="s">
        <v>51</v>
      </c>
      <c r="L3" s="78"/>
      <c r="M3" s="78" t="s">
        <v>52</v>
      </c>
      <c r="N3" s="78"/>
      <c r="O3" s="80" t="s">
        <v>175</v>
      </c>
      <c r="P3" s="81"/>
      <c r="Q3" s="80" t="s">
        <v>174</v>
      </c>
      <c r="R3" s="81"/>
      <c r="S3" s="80" t="s">
        <v>173</v>
      </c>
      <c r="T3" s="81"/>
      <c r="U3" s="80" t="s">
        <v>172</v>
      </c>
      <c r="V3" s="81"/>
      <c r="W3" s="80" t="s">
        <v>171</v>
      </c>
      <c r="X3" s="81"/>
      <c r="Y3" s="80" t="s">
        <v>170</v>
      </c>
      <c r="Z3" s="81"/>
    </row>
    <row r="4" spans="1:28" ht="19.5" customHeight="1" x14ac:dyDescent="0.25">
      <c r="A4" s="78"/>
      <c r="B4" s="78"/>
      <c r="C4" s="78"/>
      <c r="D4" s="78"/>
      <c r="E4" s="4" t="s">
        <v>47</v>
      </c>
      <c r="F4" s="4" t="s">
        <v>48</v>
      </c>
      <c r="G4" s="4" t="s">
        <v>47</v>
      </c>
      <c r="H4" s="4" t="s">
        <v>48</v>
      </c>
      <c r="I4" s="4" t="s">
        <v>47</v>
      </c>
      <c r="J4" s="4" t="s">
        <v>48</v>
      </c>
      <c r="K4" s="4" t="s">
        <v>47</v>
      </c>
      <c r="L4" s="4" t="s">
        <v>48</v>
      </c>
      <c r="M4" s="4" t="s">
        <v>47</v>
      </c>
      <c r="N4" s="4" t="s">
        <v>48</v>
      </c>
      <c r="O4" s="46" t="s">
        <v>47</v>
      </c>
      <c r="P4" s="46" t="s">
        <v>48</v>
      </c>
      <c r="Q4" s="46" t="s">
        <v>47</v>
      </c>
      <c r="R4" s="46" t="s">
        <v>48</v>
      </c>
      <c r="S4" s="46" t="s">
        <v>47</v>
      </c>
      <c r="T4" s="46" t="s">
        <v>48</v>
      </c>
      <c r="U4" s="46" t="s">
        <v>47</v>
      </c>
      <c r="V4" s="46" t="s">
        <v>48</v>
      </c>
      <c r="W4" s="46" t="s">
        <v>47</v>
      </c>
      <c r="X4" s="46" t="s">
        <v>48</v>
      </c>
      <c r="Y4" s="46" t="s">
        <v>47</v>
      </c>
      <c r="Z4" s="46" t="s">
        <v>48</v>
      </c>
    </row>
    <row r="5" spans="1:28" x14ac:dyDescent="0.25">
      <c r="A5" s="3">
        <v>1</v>
      </c>
      <c r="B5" s="5" t="s">
        <v>56</v>
      </c>
      <c r="C5" s="3" t="s">
        <v>57</v>
      </c>
      <c r="D5" s="6">
        <f>F5+H5+J5+L5+N5</f>
        <v>54819000</v>
      </c>
      <c r="E5" s="7">
        <v>342</v>
      </c>
      <c r="F5" s="7">
        <f>E5*135000</f>
        <v>46170000</v>
      </c>
      <c r="G5" s="7">
        <v>52</v>
      </c>
      <c r="H5" s="7">
        <f>G5*127000</f>
        <v>6604000</v>
      </c>
      <c r="I5" s="7">
        <v>8</v>
      </c>
      <c r="J5" s="7">
        <f>I5*130000</f>
        <v>1040000</v>
      </c>
      <c r="K5" s="7">
        <v>4</v>
      </c>
      <c r="L5" s="7">
        <f>K5*135000</f>
        <v>540000</v>
      </c>
      <c r="M5" s="7">
        <v>3</v>
      </c>
      <c r="N5" s="7">
        <f>M5*155000</f>
        <v>465000</v>
      </c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8">
        <f>SUM(E5:E8)</f>
        <v>1721</v>
      </c>
      <c r="AB5" s="8">
        <f>SUM(G5:G8)</f>
        <v>168</v>
      </c>
    </row>
    <row r="6" spans="1:28" x14ac:dyDescent="0.25">
      <c r="A6" s="3">
        <v>2</v>
      </c>
      <c r="B6" s="5" t="s">
        <v>58</v>
      </c>
      <c r="C6" s="3" t="s">
        <v>59</v>
      </c>
      <c r="D6" s="6">
        <f t="shared" ref="D6:D36" si="0">F6+H6+J6+L6+N6</f>
        <v>76882000</v>
      </c>
      <c r="E6" s="7">
        <v>500</v>
      </c>
      <c r="F6" s="7">
        <f t="shared" ref="F6:F50" si="1">E6*135000</f>
        <v>67500000</v>
      </c>
      <c r="G6" s="7">
        <v>51</v>
      </c>
      <c r="H6" s="7">
        <f t="shared" ref="H6:H50" si="2">G6*127000</f>
        <v>6477000</v>
      </c>
      <c r="I6" s="7">
        <v>13</v>
      </c>
      <c r="J6" s="7">
        <f t="shared" ref="J6:J19" si="3">I6*130000</f>
        <v>1690000</v>
      </c>
      <c r="K6" s="7">
        <v>9</v>
      </c>
      <c r="L6" s="7">
        <f t="shared" ref="L6:L19" si="4">K6*135000</f>
        <v>1215000</v>
      </c>
      <c r="M6" s="7"/>
      <c r="N6" s="7">
        <f t="shared" ref="N6:N22" si="5">M6*155000</f>
        <v>0</v>
      </c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</row>
    <row r="7" spans="1:28" x14ac:dyDescent="0.25">
      <c r="A7" s="3">
        <v>3</v>
      </c>
      <c r="B7" s="5" t="s">
        <v>60</v>
      </c>
      <c r="C7" s="3" t="s">
        <v>61</v>
      </c>
      <c r="D7" s="6">
        <f t="shared" si="0"/>
        <v>78218000</v>
      </c>
      <c r="E7" s="7">
        <v>538</v>
      </c>
      <c r="F7" s="7">
        <f t="shared" si="1"/>
        <v>72630000</v>
      </c>
      <c r="G7" s="7">
        <v>44</v>
      </c>
      <c r="H7" s="7">
        <f t="shared" si="2"/>
        <v>5588000</v>
      </c>
      <c r="I7" s="7"/>
      <c r="J7" s="7">
        <f t="shared" si="3"/>
        <v>0</v>
      </c>
      <c r="K7" s="7"/>
      <c r="L7" s="7">
        <f t="shared" si="4"/>
        <v>0</v>
      </c>
      <c r="M7" s="7"/>
      <c r="N7" s="7">
        <f t="shared" si="5"/>
        <v>0</v>
      </c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</row>
    <row r="8" spans="1:28" x14ac:dyDescent="0.25">
      <c r="A8" s="3">
        <v>4</v>
      </c>
      <c r="B8" s="5" t="s">
        <v>62</v>
      </c>
      <c r="C8" s="3" t="s">
        <v>63</v>
      </c>
      <c r="D8" s="6">
        <f t="shared" si="0"/>
        <v>48702000</v>
      </c>
      <c r="E8" s="7">
        <v>341</v>
      </c>
      <c r="F8" s="7">
        <f t="shared" si="1"/>
        <v>46035000</v>
      </c>
      <c r="G8" s="7">
        <v>21</v>
      </c>
      <c r="H8" s="7">
        <f t="shared" si="2"/>
        <v>2667000</v>
      </c>
      <c r="I8" s="7"/>
      <c r="J8" s="7">
        <f t="shared" si="3"/>
        <v>0</v>
      </c>
      <c r="K8" s="7"/>
      <c r="L8" s="7">
        <f t="shared" si="4"/>
        <v>0</v>
      </c>
      <c r="M8" s="7"/>
      <c r="N8" s="7">
        <f t="shared" si="5"/>
        <v>0</v>
      </c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</row>
    <row r="9" spans="1:28" x14ac:dyDescent="0.25">
      <c r="A9" s="3">
        <v>5</v>
      </c>
      <c r="B9" s="5" t="s">
        <v>64</v>
      </c>
      <c r="C9" s="3" t="s">
        <v>65</v>
      </c>
      <c r="D9" s="6">
        <f t="shared" si="0"/>
        <v>53808000</v>
      </c>
      <c r="E9" s="7">
        <v>376</v>
      </c>
      <c r="F9" s="7">
        <f t="shared" si="1"/>
        <v>50760000</v>
      </c>
      <c r="G9" s="7">
        <v>24</v>
      </c>
      <c r="H9" s="7">
        <f t="shared" si="2"/>
        <v>3048000</v>
      </c>
      <c r="I9" s="7"/>
      <c r="J9" s="7">
        <f t="shared" si="3"/>
        <v>0</v>
      </c>
      <c r="K9" s="7"/>
      <c r="L9" s="7">
        <f t="shared" si="4"/>
        <v>0</v>
      </c>
      <c r="M9" s="7"/>
      <c r="N9" s="7">
        <f t="shared" si="5"/>
        <v>0</v>
      </c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8">
        <f>SUM(E9:E21)</f>
        <v>3861</v>
      </c>
      <c r="AB9" s="8">
        <f>SUM(G9:G21)</f>
        <v>366</v>
      </c>
    </row>
    <row r="10" spans="1:28" x14ac:dyDescent="0.25">
      <c r="A10" s="3">
        <v>6</v>
      </c>
      <c r="B10" s="5" t="s">
        <v>66</v>
      </c>
      <c r="C10" s="3" t="s">
        <v>67</v>
      </c>
      <c r="D10" s="6">
        <f t="shared" si="0"/>
        <v>42619000</v>
      </c>
      <c r="E10" s="7">
        <v>295</v>
      </c>
      <c r="F10" s="7">
        <f t="shared" si="1"/>
        <v>39825000</v>
      </c>
      <c r="G10" s="7">
        <v>22</v>
      </c>
      <c r="H10" s="7">
        <f t="shared" si="2"/>
        <v>2794000</v>
      </c>
      <c r="I10" s="7"/>
      <c r="J10" s="7">
        <f t="shared" si="3"/>
        <v>0</v>
      </c>
      <c r="K10" s="7"/>
      <c r="L10" s="7">
        <f t="shared" si="4"/>
        <v>0</v>
      </c>
      <c r="M10" s="7"/>
      <c r="N10" s="7">
        <f t="shared" si="5"/>
        <v>0</v>
      </c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</row>
    <row r="11" spans="1:28" x14ac:dyDescent="0.25">
      <c r="A11" s="3">
        <v>7</v>
      </c>
      <c r="B11" s="5" t="s">
        <v>68</v>
      </c>
      <c r="C11" s="3" t="s">
        <v>69</v>
      </c>
      <c r="D11" s="6">
        <f t="shared" si="0"/>
        <v>85492000</v>
      </c>
      <c r="E11" s="7">
        <v>590</v>
      </c>
      <c r="F11" s="7">
        <f t="shared" si="1"/>
        <v>79650000</v>
      </c>
      <c r="G11" s="7">
        <v>46</v>
      </c>
      <c r="H11" s="7">
        <f t="shared" si="2"/>
        <v>5842000</v>
      </c>
      <c r="I11" s="7"/>
      <c r="J11" s="7">
        <f t="shared" si="3"/>
        <v>0</v>
      </c>
      <c r="K11" s="7"/>
      <c r="L11" s="7">
        <f t="shared" si="4"/>
        <v>0</v>
      </c>
      <c r="M11" s="7"/>
      <c r="N11" s="7">
        <f t="shared" si="5"/>
        <v>0</v>
      </c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8">
        <f>SUM(I5:I6)</f>
        <v>21</v>
      </c>
    </row>
    <row r="12" spans="1:28" x14ac:dyDescent="0.25">
      <c r="A12" s="3">
        <v>8</v>
      </c>
      <c r="B12" s="5" t="s">
        <v>70</v>
      </c>
      <c r="C12" s="3" t="s">
        <v>67</v>
      </c>
      <c r="D12" s="6">
        <f t="shared" si="0"/>
        <v>37639000</v>
      </c>
      <c r="E12" s="7">
        <v>244</v>
      </c>
      <c r="F12" s="7">
        <f t="shared" si="1"/>
        <v>32940000</v>
      </c>
      <c r="G12" s="7">
        <v>37</v>
      </c>
      <c r="H12" s="7">
        <f t="shared" si="2"/>
        <v>4699000</v>
      </c>
      <c r="I12" s="7"/>
      <c r="J12" s="7">
        <f t="shared" si="3"/>
        <v>0</v>
      </c>
      <c r="K12" s="7"/>
      <c r="L12" s="7">
        <f t="shared" si="4"/>
        <v>0</v>
      </c>
      <c r="M12" s="7"/>
      <c r="N12" s="7">
        <f t="shared" si="5"/>
        <v>0</v>
      </c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8">
        <f>SUM(K5:K6)</f>
        <v>13</v>
      </c>
    </row>
    <row r="13" spans="1:28" x14ac:dyDescent="0.25">
      <c r="A13" s="3">
        <v>9</v>
      </c>
      <c r="B13" s="5" t="s">
        <v>71</v>
      </c>
      <c r="C13" s="3" t="s">
        <v>72</v>
      </c>
      <c r="D13" s="6">
        <f t="shared" si="0"/>
        <v>62883000</v>
      </c>
      <c r="E13" s="7">
        <v>415</v>
      </c>
      <c r="F13" s="7">
        <f t="shared" si="1"/>
        <v>56025000</v>
      </c>
      <c r="G13" s="7">
        <v>54</v>
      </c>
      <c r="H13" s="7">
        <f t="shared" si="2"/>
        <v>6858000</v>
      </c>
      <c r="I13" s="7"/>
      <c r="J13" s="7">
        <f t="shared" si="3"/>
        <v>0</v>
      </c>
      <c r="K13" s="7"/>
      <c r="L13" s="7">
        <f t="shared" si="4"/>
        <v>0</v>
      </c>
      <c r="M13" s="7"/>
      <c r="N13" s="7">
        <f t="shared" si="5"/>
        <v>0</v>
      </c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>
        <v>3</v>
      </c>
    </row>
    <row r="14" spans="1:28" x14ac:dyDescent="0.25">
      <c r="A14" s="3">
        <v>10</v>
      </c>
      <c r="B14" s="5" t="s">
        <v>73</v>
      </c>
      <c r="C14" s="3" t="s">
        <v>74</v>
      </c>
      <c r="D14" s="6">
        <f t="shared" si="0"/>
        <v>38736000</v>
      </c>
      <c r="E14" s="7">
        <v>270</v>
      </c>
      <c r="F14" s="7">
        <f t="shared" si="1"/>
        <v>36450000</v>
      </c>
      <c r="G14" s="7">
        <v>18</v>
      </c>
      <c r="H14" s="7">
        <f t="shared" si="2"/>
        <v>2286000</v>
      </c>
      <c r="I14" s="7"/>
      <c r="J14" s="7">
        <f t="shared" si="3"/>
        <v>0</v>
      </c>
      <c r="K14" s="7"/>
      <c r="L14" s="7">
        <f t="shared" si="4"/>
        <v>0</v>
      </c>
      <c r="M14" s="7"/>
      <c r="N14" s="7">
        <f t="shared" si="5"/>
        <v>0</v>
      </c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</row>
    <row r="15" spans="1:28" x14ac:dyDescent="0.25">
      <c r="A15" s="3">
        <v>11</v>
      </c>
      <c r="B15" s="5" t="s">
        <v>75</v>
      </c>
      <c r="C15" s="3" t="s">
        <v>76</v>
      </c>
      <c r="D15" s="6">
        <f t="shared" si="0"/>
        <v>35472000</v>
      </c>
      <c r="E15" s="7">
        <v>243</v>
      </c>
      <c r="F15" s="7">
        <f t="shared" si="1"/>
        <v>32805000</v>
      </c>
      <c r="G15" s="7">
        <v>21</v>
      </c>
      <c r="H15" s="7">
        <f t="shared" si="2"/>
        <v>2667000</v>
      </c>
      <c r="I15" s="7"/>
      <c r="J15" s="7">
        <f t="shared" si="3"/>
        <v>0</v>
      </c>
      <c r="K15" s="7"/>
      <c r="L15" s="7">
        <f t="shared" si="4"/>
        <v>0</v>
      </c>
      <c r="M15" s="7"/>
      <c r="N15" s="7">
        <f t="shared" si="5"/>
        <v>0</v>
      </c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</row>
    <row r="16" spans="1:28" x14ac:dyDescent="0.25">
      <c r="A16" s="3">
        <v>12</v>
      </c>
      <c r="B16" s="5" t="s">
        <v>77</v>
      </c>
      <c r="C16" s="3" t="s">
        <v>78</v>
      </c>
      <c r="D16" s="6">
        <f t="shared" si="0"/>
        <v>18875000</v>
      </c>
      <c r="E16" s="7">
        <v>121</v>
      </c>
      <c r="F16" s="7">
        <f t="shared" si="1"/>
        <v>16335000</v>
      </c>
      <c r="G16" s="7">
        <v>20</v>
      </c>
      <c r="H16" s="7">
        <f t="shared" si="2"/>
        <v>2540000</v>
      </c>
      <c r="I16" s="7"/>
      <c r="J16" s="7">
        <f t="shared" si="3"/>
        <v>0</v>
      </c>
      <c r="K16" s="7"/>
      <c r="L16" s="7">
        <f t="shared" si="4"/>
        <v>0</v>
      </c>
      <c r="M16" s="7"/>
      <c r="N16" s="7">
        <f t="shared" si="5"/>
        <v>0</v>
      </c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</row>
    <row r="17" spans="1:28" x14ac:dyDescent="0.25">
      <c r="A17" s="3">
        <v>13</v>
      </c>
      <c r="B17" s="5" t="s">
        <v>79</v>
      </c>
      <c r="C17" s="3" t="s">
        <v>80</v>
      </c>
      <c r="D17" s="6">
        <f t="shared" si="0"/>
        <v>31620000</v>
      </c>
      <c r="E17" s="7">
        <v>206</v>
      </c>
      <c r="F17" s="7">
        <f t="shared" si="1"/>
        <v>27810000</v>
      </c>
      <c r="G17" s="7">
        <v>30</v>
      </c>
      <c r="H17" s="7">
        <f t="shared" si="2"/>
        <v>3810000</v>
      </c>
      <c r="I17" s="7"/>
      <c r="J17" s="7">
        <f t="shared" si="3"/>
        <v>0</v>
      </c>
      <c r="K17" s="7"/>
      <c r="L17" s="7">
        <f t="shared" si="4"/>
        <v>0</v>
      </c>
      <c r="M17" s="7"/>
      <c r="N17" s="7">
        <f t="shared" si="5"/>
        <v>0</v>
      </c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</row>
    <row r="18" spans="1:28" x14ac:dyDescent="0.25">
      <c r="A18" s="3">
        <v>14</v>
      </c>
      <c r="B18" s="5" t="s">
        <v>81</v>
      </c>
      <c r="C18" s="3" t="s">
        <v>82</v>
      </c>
      <c r="D18" s="6">
        <f t="shared" si="0"/>
        <v>44612000</v>
      </c>
      <c r="E18" s="7">
        <v>306</v>
      </c>
      <c r="F18" s="7">
        <f t="shared" si="1"/>
        <v>41310000</v>
      </c>
      <c r="G18" s="7">
        <v>26</v>
      </c>
      <c r="H18" s="7">
        <f t="shared" si="2"/>
        <v>3302000</v>
      </c>
      <c r="I18" s="7"/>
      <c r="J18" s="7">
        <f t="shared" si="3"/>
        <v>0</v>
      </c>
      <c r="K18" s="7"/>
      <c r="L18" s="7">
        <f t="shared" si="4"/>
        <v>0</v>
      </c>
      <c r="M18" s="7"/>
      <c r="N18" s="7">
        <f t="shared" si="5"/>
        <v>0</v>
      </c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</row>
    <row r="19" spans="1:28" x14ac:dyDescent="0.25">
      <c r="A19" s="3">
        <v>15</v>
      </c>
      <c r="B19" s="5" t="s">
        <v>83</v>
      </c>
      <c r="C19" s="3" t="s">
        <v>84</v>
      </c>
      <c r="D19" s="6">
        <f t="shared" si="0"/>
        <v>42142000</v>
      </c>
      <c r="E19" s="7">
        <v>283</v>
      </c>
      <c r="F19" s="7">
        <f t="shared" si="1"/>
        <v>38205000</v>
      </c>
      <c r="G19" s="7">
        <v>31</v>
      </c>
      <c r="H19" s="7">
        <f t="shared" si="2"/>
        <v>3937000</v>
      </c>
      <c r="I19" s="7"/>
      <c r="J19" s="7">
        <f t="shared" si="3"/>
        <v>0</v>
      </c>
      <c r="K19" s="7"/>
      <c r="L19" s="7">
        <f t="shared" si="4"/>
        <v>0</v>
      </c>
      <c r="M19" s="7"/>
      <c r="N19" s="7">
        <f t="shared" si="5"/>
        <v>0</v>
      </c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</row>
    <row r="20" spans="1:28" x14ac:dyDescent="0.25">
      <c r="A20" s="3">
        <v>16</v>
      </c>
      <c r="B20" s="5" t="s">
        <v>87</v>
      </c>
      <c r="C20" s="3" t="s">
        <v>88</v>
      </c>
      <c r="D20" s="6">
        <f t="shared" si="0"/>
        <v>51076000</v>
      </c>
      <c r="E20" s="7">
        <v>352</v>
      </c>
      <c r="F20" s="7">
        <f t="shared" si="1"/>
        <v>47520000</v>
      </c>
      <c r="G20" s="7">
        <v>28</v>
      </c>
      <c r="H20" s="7">
        <f t="shared" si="2"/>
        <v>3556000</v>
      </c>
      <c r="I20" s="7"/>
      <c r="J20" s="7">
        <f>I20*132000</f>
        <v>0</v>
      </c>
      <c r="K20" s="7"/>
      <c r="L20" s="7">
        <f>K20*143000</f>
        <v>0</v>
      </c>
      <c r="M20" s="7"/>
      <c r="N20" s="7">
        <f t="shared" si="5"/>
        <v>0</v>
      </c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</row>
    <row r="21" spans="1:28" s="28" customFormat="1" x14ac:dyDescent="0.25">
      <c r="A21" s="3">
        <v>17</v>
      </c>
      <c r="B21" s="24" t="s">
        <v>85</v>
      </c>
      <c r="C21" s="23" t="s">
        <v>86</v>
      </c>
      <c r="D21" s="25">
        <f t="shared" ref="D21" si="6">F21+H21+J21+L21+N21</f>
        <v>32985000</v>
      </c>
      <c r="E21" s="26">
        <v>160</v>
      </c>
      <c r="F21" s="26">
        <f t="shared" si="1"/>
        <v>21600000</v>
      </c>
      <c r="G21" s="26">
        <v>9</v>
      </c>
      <c r="H21" s="26">
        <f t="shared" si="2"/>
        <v>1143000</v>
      </c>
      <c r="I21" s="27">
        <v>44</v>
      </c>
      <c r="J21" s="27">
        <f>I21*132000</f>
        <v>5808000</v>
      </c>
      <c r="K21" s="27">
        <v>18</v>
      </c>
      <c r="L21" s="27">
        <f>K21*143000</f>
        <v>2574000</v>
      </c>
      <c r="M21" s="27">
        <v>12</v>
      </c>
      <c r="N21" s="27">
        <f t="shared" si="5"/>
        <v>1860000</v>
      </c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</row>
    <row r="22" spans="1:28" x14ac:dyDescent="0.25">
      <c r="A22" s="3">
        <v>18</v>
      </c>
      <c r="B22" s="5" t="s">
        <v>89</v>
      </c>
      <c r="C22" s="3" t="s">
        <v>90</v>
      </c>
      <c r="D22" s="6">
        <f t="shared" si="0"/>
        <v>26812000</v>
      </c>
      <c r="E22" s="7">
        <v>92</v>
      </c>
      <c r="F22" s="7">
        <f t="shared" si="1"/>
        <v>12420000</v>
      </c>
      <c r="G22" s="7"/>
      <c r="H22" s="7">
        <f t="shared" si="2"/>
        <v>0</v>
      </c>
      <c r="I22" s="7">
        <v>60</v>
      </c>
      <c r="J22" s="7">
        <f t="shared" ref="J22" si="7">I22*132000</f>
        <v>7920000</v>
      </c>
      <c r="K22" s="7">
        <v>29</v>
      </c>
      <c r="L22" s="7">
        <f t="shared" ref="L22:L50" si="8">K22*143000</f>
        <v>4147000</v>
      </c>
      <c r="M22" s="7">
        <v>15</v>
      </c>
      <c r="N22" s="7">
        <f t="shared" si="5"/>
        <v>2325000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8">
        <f>SUM(E22:E26)</f>
        <v>992</v>
      </c>
      <c r="AB22" s="8">
        <f>SUM(G22:G26)</f>
        <v>71</v>
      </c>
    </row>
    <row r="23" spans="1:28" x14ac:dyDescent="0.25">
      <c r="A23" s="3">
        <v>19</v>
      </c>
      <c r="B23" s="5" t="s">
        <v>107</v>
      </c>
      <c r="C23" s="3" t="s">
        <v>108</v>
      </c>
      <c r="D23" s="6">
        <f t="shared" si="0"/>
        <v>53972000</v>
      </c>
      <c r="E23" s="7">
        <v>339</v>
      </c>
      <c r="F23" s="7">
        <f t="shared" si="1"/>
        <v>45765000</v>
      </c>
      <c r="G23" s="7">
        <v>24</v>
      </c>
      <c r="H23" s="7">
        <f t="shared" si="2"/>
        <v>3048000</v>
      </c>
      <c r="I23" s="18">
        <v>24</v>
      </c>
      <c r="J23" s="18">
        <f>I23*137500</f>
        <v>3300000</v>
      </c>
      <c r="K23" s="18">
        <v>13</v>
      </c>
      <c r="L23" s="18">
        <f t="shared" si="8"/>
        <v>1859000</v>
      </c>
      <c r="M23" s="18">
        <v>0</v>
      </c>
      <c r="N23" s="18">
        <f>M23*165000</f>
        <v>0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8">
        <f>SUM(I21:I22)</f>
        <v>104</v>
      </c>
    </row>
    <row r="24" spans="1:28" x14ac:dyDescent="0.25">
      <c r="A24" s="3">
        <v>20</v>
      </c>
      <c r="B24" s="5" t="s">
        <v>109</v>
      </c>
      <c r="C24" s="3" t="s">
        <v>110</v>
      </c>
      <c r="D24" s="6">
        <f t="shared" si="0"/>
        <v>77309000</v>
      </c>
      <c r="E24" s="7">
        <v>347</v>
      </c>
      <c r="F24" s="7">
        <f t="shared" si="1"/>
        <v>46845000</v>
      </c>
      <c r="G24" s="7">
        <v>32</v>
      </c>
      <c r="H24" s="7">
        <f t="shared" si="2"/>
        <v>4064000</v>
      </c>
      <c r="I24" s="7">
        <v>120</v>
      </c>
      <c r="J24" s="7">
        <f>I24*137500</f>
        <v>16500000</v>
      </c>
      <c r="K24" s="7">
        <v>60</v>
      </c>
      <c r="L24" s="7">
        <f t="shared" si="8"/>
        <v>8580000</v>
      </c>
      <c r="M24" s="7">
        <v>8</v>
      </c>
      <c r="N24" s="7">
        <f>M24*165000</f>
        <v>1320000</v>
      </c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8">
        <f>SUM(K21:K22)</f>
        <v>47</v>
      </c>
    </row>
    <row r="25" spans="1:28" x14ac:dyDescent="0.25">
      <c r="A25" s="3">
        <v>21</v>
      </c>
      <c r="B25" s="5" t="s">
        <v>121</v>
      </c>
      <c r="C25" s="3" t="s">
        <v>122</v>
      </c>
      <c r="D25" s="6">
        <f t="shared" si="0"/>
        <v>46028000</v>
      </c>
      <c r="E25" s="7">
        <v>142</v>
      </c>
      <c r="F25" s="7">
        <f t="shared" si="1"/>
        <v>19170000</v>
      </c>
      <c r="G25" s="7">
        <v>14</v>
      </c>
      <c r="H25" s="7">
        <f t="shared" si="2"/>
        <v>1778000</v>
      </c>
      <c r="I25" s="7">
        <v>120</v>
      </c>
      <c r="J25" s="7">
        <f t="shared" ref="J25:J50" si="9">I25*137500</f>
        <v>16500000</v>
      </c>
      <c r="K25" s="7">
        <v>60</v>
      </c>
      <c r="L25" s="7">
        <f t="shared" si="8"/>
        <v>8580000</v>
      </c>
      <c r="M25" s="7">
        <v>0</v>
      </c>
      <c r="N25" s="7">
        <f t="shared" ref="N25:N50" si="10">M25*165000</f>
        <v>0</v>
      </c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8">
        <f>SUM(M21:M22)</f>
        <v>27</v>
      </c>
    </row>
    <row r="26" spans="1:28" s="28" customFormat="1" x14ac:dyDescent="0.25">
      <c r="A26" s="3">
        <v>22</v>
      </c>
      <c r="B26" s="24" t="s">
        <v>131</v>
      </c>
      <c r="C26" s="23" t="s">
        <v>132</v>
      </c>
      <c r="D26" s="25">
        <f t="shared" si="0"/>
        <v>35504500</v>
      </c>
      <c r="E26" s="26">
        <v>72</v>
      </c>
      <c r="F26" s="26">
        <f t="shared" si="1"/>
        <v>9720000</v>
      </c>
      <c r="G26" s="26">
        <v>1</v>
      </c>
      <c r="H26" s="26">
        <f t="shared" si="2"/>
        <v>127000</v>
      </c>
      <c r="I26" s="26">
        <v>75</v>
      </c>
      <c r="J26" s="26">
        <f t="shared" si="9"/>
        <v>10312500</v>
      </c>
      <c r="K26" s="26">
        <v>90</v>
      </c>
      <c r="L26" s="26">
        <f t="shared" si="8"/>
        <v>12870000</v>
      </c>
      <c r="M26" s="26">
        <v>15</v>
      </c>
      <c r="N26" s="26">
        <f t="shared" si="10"/>
        <v>2475000</v>
      </c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31">
        <f>SUM(I23:I29)</f>
        <v>840</v>
      </c>
    </row>
    <row r="27" spans="1:28" x14ac:dyDescent="0.25">
      <c r="A27" s="3">
        <v>23</v>
      </c>
      <c r="B27" s="5" t="s">
        <v>151</v>
      </c>
      <c r="C27" s="3" t="s">
        <v>133</v>
      </c>
      <c r="D27" s="6">
        <f t="shared" si="0"/>
        <v>38913000</v>
      </c>
      <c r="E27" s="7">
        <v>44</v>
      </c>
      <c r="F27" s="7">
        <f t="shared" si="1"/>
        <v>5940000</v>
      </c>
      <c r="G27" s="7">
        <v>1</v>
      </c>
      <c r="H27" s="7">
        <f t="shared" si="2"/>
        <v>127000</v>
      </c>
      <c r="I27" s="7">
        <v>100</v>
      </c>
      <c r="J27" s="7">
        <f t="shared" si="9"/>
        <v>13750000</v>
      </c>
      <c r="K27" s="7">
        <v>107</v>
      </c>
      <c r="L27" s="7">
        <f t="shared" si="8"/>
        <v>15301000</v>
      </c>
      <c r="M27" s="7">
        <v>23</v>
      </c>
      <c r="N27" s="7">
        <f t="shared" si="10"/>
        <v>3795000</v>
      </c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8">
        <f>SUM(K23:K29)</f>
        <v>814</v>
      </c>
      <c r="AB27" s="8">
        <f>SUM(E27:E31)</f>
        <v>192</v>
      </c>
    </row>
    <row r="28" spans="1:28" x14ac:dyDescent="0.25">
      <c r="A28" s="3">
        <v>24</v>
      </c>
      <c r="B28" s="5" t="s">
        <v>134</v>
      </c>
      <c r="C28" s="3" t="s">
        <v>137</v>
      </c>
      <c r="D28" s="6">
        <f t="shared" si="0"/>
        <v>78278500</v>
      </c>
      <c r="E28" s="7">
        <v>55</v>
      </c>
      <c r="F28" s="7">
        <f t="shared" si="1"/>
        <v>7425000</v>
      </c>
      <c r="G28" s="7">
        <v>5</v>
      </c>
      <c r="H28" s="7">
        <f t="shared" si="2"/>
        <v>635000</v>
      </c>
      <c r="I28" s="7">
        <v>201</v>
      </c>
      <c r="J28" s="7">
        <f t="shared" si="9"/>
        <v>27637500</v>
      </c>
      <c r="K28" s="7">
        <v>232</v>
      </c>
      <c r="L28" s="7">
        <f t="shared" si="8"/>
        <v>33176000</v>
      </c>
      <c r="M28" s="7">
        <v>57</v>
      </c>
      <c r="N28" s="7">
        <f t="shared" si="10"/>
        <v>9405000</v>
      </c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8">
        <f>SUM(M23:M29)</f>
        <v>161</v>
      </c>
      <c r="AB28" s="8">
        <f>SUM(G27:G31)</f>
        <v>17</v>
      </c>
    </row>
    <row r="29" spans="1:28" x14ac:dyDescent="0.25">
      <c r="A29" s="3">
        <v>25</v>
      </c>
      <c r="B29" s="5" t="s">
        <v>136</v>
      </c>
      <c r="C29" s="3" t="s">
        <v>138</v>
      </c>
      <c r="D29" s="6">
        <f t="shared" si="0"/>
        <v>78355000</v>
      </c>
      <c r="E29" s="7">
        <v>37</v>
      </c>
      <c r="F29" s="7">
        <f t="shared" si="1"/>
        <v>4995000</v>
      </c>
      <c r="G29" s="7">
        <v>2</v>
      </c>
      <c r="H29" s="7">
        <f t="shared" si="2"/>
        <v>254000</v>
      </c>
      <c r="I29" s="7">
        <v>200</v>
      </c>
      <c r="J29" s="7">
        <f t="shared" si="9"/>
        <v>27500000</v>
      </c>
      <c r="K29" s="7">
        <v>252</v>
      </c>
      <c r="L29" s="7">
        <f t="shared" si="8"/>
        <v>36036000</v>
      </c>
      <c r="M29" s="7">
        <v>58</v>
      </c>
      <c r="N29" s="7">
        <f t="shared" si="10"/>
        <v>9570000</v>
      </c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8">
        <f>SUM(E27:E34)</f>
        <v>259</v>
      </c>
      <c r="AB29" s="8">
        <f>SUM(G27:G34)</f>
        <v>28</v>
      </c>
    </row>
    <row r="30" spans="1:28" x14ac:dyDescent="0.25">
      <c r="A30" s="3">
        <v>26</v>
      </c>
      <c r="B30" s="5" t="s">
        <v>147</v>
      </c>
      <c r="C30" s="3" t="s">
        <v>148</v>
      </c>
      <c r="D30" s="6">
        <f t="shared" si="0"/>
        <v>51759500</v>
      </c>
      <c r="E30" s="7">
        <v>23</v>
      </c>
      <c r="F30" s="7">
        <f t="shared" si="1"/>
        <v>3105000</v>
      </c>
      <c r="G30" s="7">
        <v>3</v>
      </c>
      <c r="H30" s="7">
        <f t="shared" si="2"/>
        <v>381000</v>
      </c>
      <c r="I30" s="7">
        <v>185</v>
      </c>
      <c r="J30" s="7">
        <f t="shared" si="9"/>
        <v>25437500</v>
      </c>
      <c r="K30" s="7">
        <v>132</v>
      </c>
      <c r="L30" s="7">
        <f>K30*143000</f>
        <v>18876000</v>
      </c>
      <c r="M30" s="7">
        <v>24</v>
      </c>
      <c r="N30" s="7">
        <f t="shared" si="10"/>
        <v>3960000</v>
      </c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8">
        <f>SUM(I30:I34)</f>
        <v>646</v>
      </c>
    </row>
    <row r="31" spans="1:28" x14ac:dyDescent="0.25">
      <c r="A31" s="3">
        <v>27</v>
      </c>
      <c r="B31" s="5" t="s">
        <v>149</v>
      </c>
      <c r="C31" s="3" t="s">
        <v>150</v>
      </c>
      <c r="D31" s="6">
        <f t="shared" si="0"/>
        <v>51450000</v>
      </c>
      <c r="E31" s="7">
        <v>33</v>
      </c>
      <c r="F31" s="7">
        <f t="shared" si="1"/>
        <v>4455000</v>
      </c>
      <c r="G31" s="7">
        <v>6</v>
      </c>
      <c r="H31" s="7">
        <f t="shared" si="2"/>
        <v>762000</v>
      </c>
      <c r="I31" s="7">
        <v>156</v>
      </c>
      <c r="J31" s="7">
        <f t="shared" si="9"/>
        <v>21450000</v>
      </c>
      <c r="K31" s="7">
        <v>141</v>
      </c>
      <c r="L31" s="7">
        <f t="shared" si="8"/>
        <v>20163000</v>
      </c>
      <c r="M31" s="7">
        <v>28</v>
      </c>
      <c r="N31" s="7">
        <f t="shared" si="10"/>
        <v>4620000</v>
      </c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8">
        <f>SUM(K30:K34)</f>
        <v>456</v>
      </c>
    </row>
    <row r="32" spans="1:28" x14ac:dyDescent="0.25">
      <c r="A32" s="3">
        <v>28</v>
      </c>
      <c r="B32" s="5" t="s">
        <v>152</v>
      </c>
      <c r="C32" s="3" t="s">
        <v>153</v>
      </c>
      <c r="D32" s="6">
        <f t="shared" si="0"/>
        <v>34010000</v>
      </c>
      <c r="E32" s="7">
        <v>19</v>
      </c>
      <c r="F32" s="7">
        <f t="shared" si="1"/>
        <v>2565000</v>
      </c>
      <c r="G32" s="7">
        <v>3</v>
      </c>
      <c r="H32" s="7">
        <f t="shared" si="2"/>
        <v>381000</v>
      </c>
      <c r="I32" s="7">
        <v>128</v>
      </c>
      <c r="J32" s="7">
        <f t="shared" si="9"/>
        <v>17600000</v>
      </c>
      <c r="K32" s="7">
        <v>78</v>
      </c>
      <c r="L32" s="7">
        <f t="shared" si="8"/>
        <v>11154000</v>
      </c>
      <c r="M32" s="7">
        <v>14</v>
      </c>
      <c r="N32" s="7">
        <f t="shared" si="10"/>
        <v>2310000</v>
      </c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8">
        <f>SUM(M30:M34)</f>
        <v>95</v>
      </c>
    </row>
    <row r="33" spans="1:29" s="37" customFormat="1" x14ac:dyDescent="0.25">
      <c r="A33" s="3">
        <v>29</v>
      </c>
      <c r="B33" s="34" t="s">
        <v>154</v>
      </c>
      <c r="C33" s="33" t="s">
        <v>155</v>
      </c>
      <c r="D33" s="35">
        <f t="shared" si="0"/>
        <v>32632500</v>
      </c>
      <c r="E33" s="36">
        <v>29</v>
      </c>
      <c r="F33" s="36">
        <f t="shared" si="1"/>
        <v>3915000</v>
      </c>
      <c r="G33" s="36">
        <v>4</v>
      </c>
      <c r="H33" s="36">
        <f t="shared" si="2"/>
        <v>508000</v>
      </c>
      <c r="I33" s="36">
        <v>91</v>
      </c>
      <c r="J33" s="36">
        <f t="shared" si="9"/>
        <v>12512500</v>
      </c>
      <c r="K33" s="36">
        <v>89</v>
      </c>
      <c r="L33" s="36">
        <f t="shared" si="8"/>
        <v>12727000</v>
      </c>
      <c r="M33" s="36">
        <v>18</v>
      </c>
      <c r="N33" s="36">
        <f t="shared" si="10"/>
        <v>2970000</v>
      </c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31">
        <f>SUM(E35:E40)</f>
        <v>72</v>
      </c>
      <c r="AB33" s="31">
        <f>SUM(G35:G40)</f>
        <v>19</v>
      </c>
      <c r="AC33" s="37" t="s">
        <v>182</v>
      </c>
    </row>
    <row r="34" spans="1:29" s="28" customFormat="1" x14ac:dyDescent="0.25">
      <c r="A34" s="3">
        <v>30</v>
      </c>
      <c r="B34" s="24" t="s">
        <v>156</v>
      </c>
      <c r="C34" s="33" t="s">
        <v>163</v>
      </c>
      <c r="D34" s="25">
        <f t="shared" si="0"/>
        <v>19001000</v>
      </c>
      <c r="E34" s="26">
        <v>19</v>
      </c>
      <c r="F34" s="26">
        <f t="shared" si="1"/>
        <v>2565000</v>
      </c>
      <c r="G34" s="26">
        <v>4</v>
      </c>
      <c r="H34" s="26">
        <f t="shared" si="2"/>
        <v>508000</v>
      </c>
      <c r="I34" s="26">
        <v>86</v>
      </c>
      <c r="J34" s="26">
        <f t="shared" si="9"/>
        <v>11825000</v>
      </c>
      <c r="K34" s="26">
        <v>16</v>
      </c>
      <c r="L34" s="26">
        <f t="shared" si="8"/>
        <v>2288000</v>
      </c>
      <c r="M34" s="26">
        <v>11</v>
      </c>
      <c r="N34" s="26">
        <f t="shared" si="10"/>
        <v>1815000</v>
      </c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31">
        <f>SUM(I35:I40)</f>
        <v>36</v>
      </c>
      <c r="AC34" s="28" t="s">
        <v>183</v>
      </c>
    </row>
    <row r="35" spans="1:29" x14ac:dyDescent="0.25">
      <c r="A35" s="3">
        <v>31</v>
      </c>
      <c r="B35" s="5" t="s">
        <v>161</v>
      </c>
      <c r="C35" s="3" t="s">
        <v>162</v>
      </c>
      <c r="D35" s="6">
        <f t="shared" si="0"/>
        <v>11809000</v>
      </c>
      <c r="E35" s="7">
        <v>22</v>
      </c>
      <c r="F35" s="7">
        <f t="shared" si="1"/>
        <v>2970000</v>
      </c>
      <c r="G35" s="7">
        <v>1</v>
      </c>
      <c r="H35" s="7">
        <f t="shared" si="2"/>
        <v>127000</v>
      </c>
      <c r="I35" s="7">
        <v>22</v>
      </c>
      <c r="J35" s="7">
        <f t="shared" si="9"/>
        <v>3025000</v>
      </c>
      <c r="K35" s="7">
        <v>34</v>
      </c>
      <c r="L35" s="7">
        <f t="shared" si="8"/>
        <v>4862000</v>
      </c>
      <c r="M35" s="7">
        <v>5</v>
      </c>
      <c r="N35" s="7">
        <f t="shared" si="10"/>
        <v>825000</v>
      </c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8">
        <f>SUM(K35:K40)</f>
        <v>63</v>
      </c>
    </row>
    <row r="36" spans="1:29" x14ac:dyDescent="0.25">
      <c r="A36" s="3">
        <v>32</v>
      </c>
      <c r="B36" s="5" t="s">
        <v>165</v>
      </c>
      <c r="C36" s="3" t="s">
        <v>164</v>
      </c>
      <c r="D36" s="6">
        <f t="shared" si="0"/>
        <v>8700000</v>
      </c>
      <c r="E36" s="7">
        <v>21</v>
      </c>
      <c r="F36" s="7">
        <f t="shared" si="1"/>
        <v>2835000</v>
      </c>
      <c r="G36" s="7">
        <v>4</v>
      </c>
      <c r="H36" s="7">
        <f t="shared" si="2"/>
        <v>508000</v>
      </c>
      <c r="I36" s="7">
        <v>14</v>
      </c>
      <c r="J36" s="7">
        <f t="shared" si="9"/>
        <v>1925000</v>
      </c>
      <c r="K36" s="7">
        <v>24</v>
      </c>
      <c r="L36" s="7">
        <f t="shared" si="8"/>
        <v>3432000</v>
      </c>
      <c r="M36" s="7">
        <v>0</v>
      </c>
      <c r="N36" s="7">
        <f t="shared" si="10"/>
        <v>0</v>
      </c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8">
        <f>SUM(M35:M40)</f>
        <v>6</v>
      </c>
    </row>
    <row r="37" spans="1:29" x14ac:dyDescent="0.25">
      <c r="A37" s="3">
        <v>33</v>
      </c>
      <c r="B37" s="5" t="s">
        <v>167</v>
      </c>
      <c r="C37" s="3" t="s">
        <v>168</v>
      </c>
      <c r="D37" s="6">
        <f>F37+H37+J37+L37+N37+P37+R37+T37+V37+X37+Z37</f>
        <v>32244000</v>
      </c>
      <c r="E37" s="7">
        <v>19</v>
      </c>
      <c r="F37" s="7">
        <f t="shared" si="1"/>
        <v>2565000</v>
      </c>
      <c r="G37" s="7">
        <v>5</v>
      </c>
      <c r="H37" s="7">
        <f t="shared" si="2"/>
        <v>635000</v>
      </c>
      <c r="I37" s="7"/>
      <c r="J37" s="7">
        <f t="shared" si="9"/>
        <v>0</v>
      </c>
      <c r="K37" s="7">
        <v>3</v>
      </c>
      <c r="L37" s="7">
        <f t="shared" si="8"/>
        <v>429000</v>
      </c>
      <c r="M37" s="7">
        <v>1</v>
      </c>
      <c r="N37" s="7">
        <f t="shared" si="10"/>
        <v>165000</v>
      </c>
      <c r="O37" s="49">
        <v>24</v>
      </c>
      <c r="P37" s="49">
        <f>O37*135000</f>
        <v>3240000</v>
      </c>
      <c r="Q37" s="49">
        <v>91</v>
      </c>
      <c r="R37" s="49">
        <f>Q37*140000</f>
        <v>12740000</v>
      </c>
      <c r="S37" s="49">
        <v>86</v>
      </c>
      <c r="T37" s="49">
        <f>S37*145000</f>
        <v>12470000</v>
      </c>
      <c r="U37" s="49"/>
      <c r="V37" s="49">
        <f>U37*150000</f>
        <v>0</v>
      </c>
      <c r="W37" s="49"/>
      <c r="X37" s="49">
        <f>W37*130000</f>
        <v>0</v>
      </c>
      <c r="Y37" s="49"/>
      <c r="Z37" s="49">
        <f>Y37*135000</f>
        <v>0</v>
      </c>
      <c r="AA37" s="31">
        <f>SUM(O37:O40)</f>
        <v>87</v>
      </c>
      <c r="AB37" s="8">
        <f>SUM(W37:W40)</f>
        <v>152</v>
      </c>
      <c r="AC37" t="s">
        <v>184</v>
      </c>
    </row>
    <row r="38" spans="1:29" x14ac:dyDescent="0.25">
      <c r="A38" s="3">
        <v>34</v>
      </c>
      <c r="B38" s="5" t="s">
        <v>176</v>
      </c>
      <c r="C38" s="3" t="s">
        <v>177</v>
      </c>
      <c r="D38" s="6">
        <f t="shared" ref="D38:D50" si="11">F38+H38+J38+L38+N38+P38+R38+T38+V38+X38+Z38</f>
        <v>20808000</v>
      </c>
      <c r="E38" s="7">
        <v>1</v>
      </c>
      <c r="F38" s="7">
        <f t="shared" si="1"/>
        <v>135000</v>
      </c>
      <c r="G38" s="7">
        <v>1</v>
      </c>
      <c r="H38" s="7">
        <f t="shared" si="2"/>
        <v>127000</v>
      </c>
      <c r="I38" s="7"/>
      <c r="J38" s="7">
        <f t="shared" si="9"/>
        <v>0</v>
      </c>
      <c r="K38" s="7">
        <v>2</v>
      </c>
      <c r="L38" s="7">
        <f t="shared" si="8"/>
        <v>286000</v>
      </c>
      <c r="M38" s="7"/>
      <c r="N38" s="7">
        <f t="shared" si="10"/>
        <v>0</v>
      </c>
      <c r="O38" s="49"/>
      <c r="P38" s="49">
        <f t="shared" ref="P38:P50" si="12">O38*135000</f>
        <v>0</v>
      </c>
      <c r="Q38" s="49">
        <v>84</v>
      </c>
      <c r="R38" s="49">
        <f t="shared" ref="R38:R50" si="13">Q38*140000</f>
        <v>11760000</v>
      </c>
      <c r="S38" s="49">
        <v>35</v>
      </c>
      <c r="T38" s="49">
        <f t="shared" ref="T38:T50" si="14">S38*145000</f>
        <v>5075000</v>
      </c>
      <c r="U38" s="49"/>
      <c r="V38" s="49">
        <f t="shared" ref="V38:V50" si="15">U38*150000</f>
        <v>0</v>
      </c>
      <c r="W38" s="49">
        <v>17</v>
      </c>
      <c r="X38" s="49">
        <f t="shared" ref="X38:X50" si="16">W38*130000</f>
        <v>2210000</v>
      </c>
      <c r="Y38" s="49">
        <v>9</v>
      </c>
      <c r="Z38" s="49">
        <f t="shared" ref="Z38:Z50" si="17">Y38*135000</f>
        <v>1215000</v>
      </c>
      <c r="AA38" s="8">
        <f>SUM(Q37:Q40)</f>
        <v>345</v>
      </c>
      <c r="AB38" s="8">
        <f>SUM(Y37:Y40)</f>
        <v>42</v>
      </c>
    </row>
    <row r="39" spans="1:29" x14ac:dyDescent="0.25">
      <c r="A39" s="3">
        <v>35</v>
      </c>
      <c r="B39" s="5" t="s">
        <v>179</v>
      </c>
      <c r="C39" s="3" t="s">
        <v>180</v>
      </c>
      <c r="D39" s="6">
        <f t="shared" si="11"/>
        <v>57756000</v>
      </c>
      <c r="E39" s="7">
        <v>7</v>
      </c>
      <c r="F39" s="7">
        <f t="shared" si="1"/>
        <v>945000</v>
      </c>
      <c r="G39" s="7">
        <v>3</v>
      </c>
      <c r="H39" s="7">
        <f t="shared" si="2"/>
        <v>381000</v>
      </c>
      <c r="I39" s="7"/>
      <c r="J39" s="7">
        <f t="shared" si="9"/>
        <v>0</v>
      </c>
      <c r="K39" s="7"/>
      <c r="L39" s="7">
        <f t="shared" si="8"/>
        <v>0</v>
      </c>
      <c r="M39" s="7"/>
      <c r="N39" s="7">
        <f t="shared" si="10"/>
        <v>0</v>
      </c>
      <c r="O39" s="49">
        <v>33</v>
      </c>
      <c r="P39" s="49">
        <f t="shared" si="12"/>
        <v>4455000</v>
      </c>
      <c r="Q39" s="49">
        <v>100</v>
      </c>
      <c r="R39" s="49">
        <f t="shared" si="13"/>
        <v>14000000</v>
      </c>
      <c r="S39" s="49">
        <v>146</v>
      </c>
      <c r="T39" s="49">
        <f t="shared" si="14"/>
        <v>21170000</v>
      </c>
      <c r="U39" s="49">
        <v>9</v>
      </c>
      <c r="V39" s="49">
        <f t="shared" si="15"/>
        <v>1350000</v>
      </c>
      <c r="W39" s="49">
        <v>95</v>
      </c>
      <c r="X39" s="49">
        <f t="shared" si="16"/>
        <v>12350000</v>
      </c>
      <c r="Y39" s="49">
        <v>23</v>
      </c>
      <c r="Z39" s="49">
        <f t="shared" si="17"/>
        <v>3105000</v>
      </c>
      <c r="AA39" s="8">
        <f>SUM(S37:S40)</f>
        <v>327</v>
      </c>
    </row>
    <row r="40" spans="1:29" x14ac:dyDescent="0.25">
      <c r="A40" s="3">
        <v>36</v>
      </c>
      <c r="B40" s="24" t="s">
        <v>181</v>
      </c>
      <c r="C40" s="23" t="s">
        <v>177</v>
      </c>
      <c r="D40" s="25">
        <f t="shared" si="11"/>
        <v>30605000</v>
      </c>
      <c r="E40" s="26">
        <v>2</v>
      </c>
      <c r="F40" s="26">
        <f t="shared" si="1"/>
        <v>270000</v>
      </c>
      <c r="G40" s="26">
        <v>5</v>
      </c>
      <c r="H40" s="26">
        <f t="shared" si="2"/>
        <v>635000</v>
      </c>
      <c r="I40" s="26"/>
      <c r="J40" s="7">
        <f t="shared" si="9"/>
        <v>0</v>
      </c>
      <c r="K40" s="26"/>
      <c r="L40" s="7">
        <f t="shared" si="8"/>
        <v>0</v>
      </c>
      <c r="M40" s="26"/>
      <c r="N40" s="7">
        <f t="shared" si="10"/>
        <v>0</v>
      </c>
      <c r="O40" s="50">
        <v>30</v>
      </c>
      <c r="P40" s="50">
        <f t="shared" si="12"/>
        <v>4050000</v>
      </c>
      <c r="Q40" s="50">
        <v>70</v>
      </c>
      <c r="R40" s="50">
        <f t="shared" si="13"/>
        <v>9800000</v>
      </c>
      <c r="S40" s="50">
        <v>60</v>
      </c>
      <c r="T40" s="50">
        <f t="shared" si="14"/>
        <v>8700000</v>
      </c>
      <c r="U40" s="50">
        <v>4</v>
      </c>
      <c r="V40" s="50">
        <f t="shared" si="15"/>
        <v>600000</v>
      </c>
      <c r="W40" s="50">
        <v>40</v>
      </c>
      <c r="X40" s="50">
        <f t="shared" si="16"/>
        <v>5200000</v>
      </c>
      <c r="Y40" s="50">
        <v>10</v>
      </c>
      <c r="Z40" s="50">
        <f t="shared" si="17"/>
        <v>1350000</v>
      </c>
      <c r="AA40" s="8">
        <f>SUM(U37:U40)</f>
        <v>13</v>
      </c>
    </row>
    <row r="41" spans="1:29" x14ac:dyDescent="0.25">
      <c r="A41" s="3">
        <v>37</v>
      </c>
      <c r="B41" s="5" t="s">
        <v>185</v>
      </c>
      <c r="C41" s="3" t="s">
        <v>186</v>
      </c>
      <c r="D41" s="6">
        <f t="shared" si="11"/>
        <v>36740000</v>
      </c>
      <c r="E41" s="7">
        <v>3</v>
      </c>
      <c r="F41" s="7">
        <f t="shared" si="1"/>
        <v>405000</v>
      </c>
      <c r="G41" s="7"/>
      <c r="H41" s="36">
        <f t="shared" si="2"/>
        <v>0</v>
      </c>
      <c r="I41" s="7"/>
      <c r="J41" s="7">
        <f t="shared" si="9"/>
        <v>0</v>
      </c>
      <c r="K41" s="7"/>
      <c r="L41" s="7">
        <f t="shared" si="8"/>
        <v>0</v>
      </c>
      <c r="M41" s="7"/>
      <c r="N41" s="7">
        <f t="shared" si="10"/>
        <v>0</v>
      </c>
      <c r="O41" s="49">
        <v>61</v>
      </c>
      <c r="P41" s="49">
        <f t="shared" si="12"/>
        <v>8235000</v>
      </c>
      <c r="Q41" s="49">
        <v>68</v>
      </c>
      <c r="R41" s="49">
        <f t="shared" si="13"/>
        <v>9520000</v>
      </c>
      <c r="S41" s="49">
        <v>51</v>
      </c>
      <c r="T41" s="49">
        <f t="shared" si="14"/>
        <v>7395000</v>
      </c>
      <c r="U41" s="49">
        <v>15</v>
      </c>
      <c r="V41" s="49">
        <f t="shared" si="15"/>
        <v>2250000</v>
      </c>
      <c r="W41" s="49">
        <v>49</v>
      </c>
      <c r="X41" s="49">
        <f t="shared" si="16"/>
        <v>6370000</v>
      </c>
      <c r="Y41" s="49">
        <v>19</v>
      </c>
      <c r="Z41" s="49">
        <f t="shared" si="17"/>
        <v>2565000</v>
      </c>
      <c r="AA41" s="31">
        <f>SUM(E41:E49)</f>
        <v>38</v>
      </c>
      <c r="AB41" s="31">
        <f>SUM(G41:G49)</f>
        <v>1</v>
      </c>
      <c r="AC41" t="s">
        <v>182</v>
      </c>
    </row>
    <row r="42" spans="1:29" x14ac:dyDescent="0.25">
      <c r="A42" s="3">
        <v>38</v>
      </c>
      <c r="B42" s="5" t="s">
        <v>187</v>
      </c>
      <c r="C42" s="3" t="s">
        <v>188</v>
      </c>
      <c r="D42" s="6">
        <f t="shared" si="11"/>
        <v>28410000</v>
      </c>
      <c r="E42" s="7"/>
      <c r="F42" s="7">
        <f t="shared" si="1"/>
        <v>0</v>
      </c>
      <c r="G42" s="7"/>
      <c r="H42" s="36">
        <f t="shared" si="2"/>
        <v>0</v>
      </c>
      <c r="I42" s="7"/>
      <c r="J42" s="7">
        <f t="shared" si="9"/>
        <v>0</v>
      </c>
      <c r="K42" s="7"/>
      <c r="L42" s="7">
        <f t="shared" si="8"/>
        <v>0</v>
      </c>
      <c r="M42" s="7"/>
      <c r="N42" s="7">
        <f t="shared" si="10"/>
        <v>0</v>
      </c>
      <c r="O42" s="49">
        <v>21</v>
      </c>
      <c r="P42" s="49">
        <f t="shared" si="12"/>
        <v>2835000</v>
      </c>
      <c r="Q42" s="49">
        <v>85</v>
      </c>
      <c r="R42" s="49">
        <f t="shared" si="13"/>
        <v>11900000</v>
      </c>
      <c r="S42" s="49">
        <v>35</v>
      </c>
      <c r="T42" s="49">
        <f t="shared" si="14"/>
        <v>5075000</v>
      </c>
      <c r="U42" s="49">
        <v>14</v>
      </c>
      <c r="V42" s="49">
        <f t="shared" si="15"/>
        <v>2100000</v>
      </c>
      <c r="W42" s="49">
        <v>50</v>
      </c>
      <c r="X42" s="49">
        <f t="shared" si="16"/>
        <v>6500000</v>
      </c>
      <c r="Y42" s="49"/>
      <c r="Z42" s="49">
        <f t="shared" si="17"/>
        <v>0</v>
      </c>
      <c r="AA42" s="8">
        <f>SUM(I41:I49)</f>
        <v>10</v>
      </c>
      <c r="AC42" t="s">
        <v>183</v>
      </c>
    </row>
    <row r="43" spans="1:29" x14ac:dyDescent="0.25">
      <c r="A43" s="3">
        <v>39</v>
      </c>
      <c r="B43" s="5" t="s">
        <v>194</v>
      </c>
      <c r="C43" s="3" t="s">
        <v>195</v>
      </c>
      <c r="D43" s="6">
        <f t="shared" si="11"/>
        <v>42477000</v>
      </c>
      <c r="E43" s="7">
        <v>1</v>
      </c>
      <c r="F43" s="7">
        <f t="shared" si="1"/>
        <v>135000</v>
      </c>
      <c r="G43" s="7"/>
      <c r="H43" s="36">
        <f t="shared" si="2"/>
        <v>0</v>
      </c>
      <c r="I43" s="7"/>
      <c r="J43" s="7">
        <f t="shared" si="9"/>
        <v>0</v>
      </c>
      <c r="K43" s="7">
        <v>4</v>
      </c>
      <c r="L43" s="7">
        <f t="shared" si="8"/>
        <v>572000</v>
      </c>
      <c r="M43" s="7"/>
      <c r="N43" s="7">
        <f t="shared" si="10"/>
        <v>0</v>
      </c>
      <c r="O43" s="49">
        <v>37</v>
      </c>
      <c r="P43" s="49">
        <f t="shared" si="12"/>
        <v>4995000</v>
      </c>
      <c r="Q43" s="49">
        <v>143</v>
      </c>
      <c r="R43" s="49">
        <f t="shared" si="13"/>
        <v>20020000</v>
      </c>
      <c r="S43" s="49">
        <v>92</v>
      </c>
      <c r="T43" s="49">
        <f t="shared" si="14"/>
        <v>13340000</v>
      </c>
      <c r="U43" s="49">
        <v>8</v>
      </c>
      <c r="V43" s="49">
        <f t="shared" si="15"/>
        <v>1200000</v>
      </c>
      <c r="W43" s="49">
        <v>16</v>
      </c>
      <c r="X43" s="49">
        <f t="shared" si="16"/>
        <v>2080000</v>
      </c>
      <c r="Y43" s="49">
        <v>1</v>
      </c>
      <c r="Z43" s="49">
        <f t="shared" si="17"/>
        <v>135000</v>
      </c>
      <c r="AA43" s="8">
        <f>SUM(K41:K49)</f>
        <v>8</v>
      </c>
      <c r="AC43" t="s">
        <v>183</v>
      </c>
    </row>
    <row r="44" spans="1:29" x14ac:dyDescent="0.25">
      <c r="A44" s="3">
        <v>40</v>
      </c>
      <c r="B44" s="5" t="s">
        <v>216</v>
      </c>
      <c r="C44" s="3" t="s">
        <v>217</v>
      </c>
      <c r="D44" s="6">
        <f t="shared" si="11"/>
        <v>24697500</v>
      </c>
      <c r="E44" s="7">
        <v>7</v>
      </c>
      <c r="F44" s="7">
        <f t="shared" si="1"/>
        <v>945000</v>
      </c>
      <c r="G44" s="7"/>
      <c r="H44" s="36">
        <f t="shared" si="2"/>
        <v>0</v>
      </c>
      <c r="I44" s="7">
        <v>1</v>
      </c>
      <c r="J44" s="7">
        <f t="shared" si="9"/>
        <v>137500</v>
      </c>
      <c r="K44" s="7"/>
      <c r="L44" s="7">
        <f t="shared" si="8"/>
        <v>0</v>
      </c>
      <c r="M44" s="7"/>
      <c r="N44" s="7">
        <f t="shared" si="10"/>
        <v>0</v>
      </c>
      <c r="O44" s="49">
        <v>53</v>
      </c>
      <c r="P44" s="49">
        <f t="shared" si="12"/>
        <v>7155000</v>
      </c>
      <c r="Q44" s="49">
        <v>81</v>
      </c>
      <c r="R44" s="49">
        <f t="shared" si="13"/>
        <v>11340000</v>
      </c>
      <c r="S44" s="49">
        <v>20</v>
      </c>
      <c r="T44" s="49">
        <f t="shared" si="14"/>
        <v>2900000</v>
      </c>
      <c r="U44" s="49">
        <v>6</v>
      </c>
      <c r="V44" s="49">
        <f t="shared" si="15"/>
        <v>900000</v>
      </c>
      <c r="W44" s="49">
        <v>6</v>
      </c>
      <c r="X44" s="49">
        <f t="shared" si="16"/>
        <v>780000</v>
      </c>
      <c r="Y44" s="49">
        <v>4</v>
      </c>
      <c r="Z44" s="49">
        <f t="shared" si="17"/>
        <v>540000</v>
      </c>
      <c r="AA44" s="8">
        <f>SUM(M41:M49)</f>
        <v>1</v>
      </c>
      <c r="AC44" t="s">
        <v>183</v>
      </c>
    </row>
    <row r="45" spans="1:29" x14ac:dyDescent="0.25">
      <c r="A45" s="3">
        <v>41</v>
      </c>
      <c r="B45" s="5" t="s">
        <v>218</v>
      </c>
      <c r="C45" s="3" t="s">
        <v>219</v>
      </c>
      <c r="D45" s="6">
        <f t="shared" si="11"/>
        <v>31610500</v>
      </c>
      <c r="E45" s="7">
        <v>2</v>
      </c>
      <c r="F45" s="7">
        <f t="shared" si="1"/>
        <v>270000</v>
      </c>
      <c r="G45" s="7"/>
      <c r="H45" s="36">
        <f t="shared" si="2"/>
        <v>0</v>
      </c>
      <c r="I45" s="7">
        <v>3</v>
      </c>
      <c r="J45" s="7">
        <f t="shared" si="9"/>
        <v>412500</v>
      </c>
      <c r="K45" s="7">
        <v>1</v>
      </c>
      <c r="L45" s="7">
        <f t="shared" si="8"/>
        <v>143000</v>
      </c>
      <c r="M45" s="7"/>
      <c r="N45" s="7">
        <f t="shared" si="10"/>
        <v>0</v>
      </c>
      <c r="O45" s="49">
        <v>17</v>
      </c>
      <c r="P45" s="49">
        <f t="shared" si="12"/>
        <v>2295000</v>
      </c>
      <c r="Q45" s="49">
        <v>85</v>
      </c>
      <c r="R45" s="49">
        <f t="shared" si="13"/>
        <v>11900000</v>
      </c>
      <c r="S45" s="49">
        <v>86</v>
      </c>
      <c r="T45" s="49">
        <f t="shared" si="14"/>
        <v>12470000</v>
      </c>
      <c r="U45" s="49">
        <v>17</v>
      </c>
      <c r="V45" s="49">
        <f t="shared" si="15"/>
        <v>2550000</v>
      </c>
      <c r="W45" s="49">
        <v>10</v>
      </c>
      <c r="X45" s="49">
        <f t="shared" si="16"/>
        <v>1300000</v>
      </c>
      <c r="Y45" s="49">
        <v>2</v>
      </c>
      <c r="Z45" s="49">
        <f t="shared" si="17"/>
        <v>270000</v>
      </c>
      <c r="AA45" s="8">
        <f>SUM(O41:O49)</f>
        <v>251</v>
      </c>
      <c r="AC45" t="s">
        <v>227</v>
      </c>
    </row>
    <row r="46" spans="1:29" x14ac:dyDescent="0.25">
      <c r="A46" s="3">
        <v>42</v>
      </c>
      <c r="B46" s="5" t="s">
        <v>220</v>
      </c>
      <c r="C46" s="3" t="s">
        <v>221</v>
      </c>
      <c r="D46" s="6">
        <f t="shared" si="11"/>
        <v>26242000</v>
      </c>
      <c r="E46" s="7">
        <v>11</v>
      </c>
      <c r="F46" s="7">
        <f t="shared" si="1"/>
        <v>1485000</v>
      </c>
      <c r="G46" s="7">
        <v>1</v>
      </c>
      <c r="H46" s="36">
        <f t="shared" si="2"/>
        <v>127000</v>
      </c>
      <c r="I46" s="7"/>
      <c r="J46" s="7">
        <f t="shared" si="9"/>
        <v>0</v>
      </c>
      <c r="K46" s="7"/>
      <c r="L46" s="7">
        <f t="shared" si="8"/>
        <v>0</v>
      </c>
      <c r="M46" s="7"/>
      <c r="N46" s="7">
        <f t="shared" si="10"/>
        <v>0</v>
      </c>
      <c r="O46" s="49">
        <v>0</v>
      </c>
      <c r="P46" s="49">
        <f t="shared" si="12"/>
        <v>0</v>
      </c>
      <c r="Q46" s="49">
        <v>109</v>
      </c>
      <c r="R46" s="49">
        <f t="shared" si="13"/>
        <v>15260000</v>
      </c>
      <c r="S46" s="49">
        <v>57</v>
      </c>
      <c r="T46" s="49">
        <f t="shared" si="14"/>
        <v>8265000</v>
      </c>
      <c r="U46" s="49">
        <v>3</v>
      </c>
      <c r="V46" s="49">
        <f t="shared" si="15"/>
        <v>450000</v>
      </c>
      <c r="W46" s="49">
        <v>4</v>
      </c>
      <c r="X46" s="49">
        <f t="shared" si="16"/>
        <v>520000</v>
      </c>
      <c r="Y46" s="49">
        <v>1</v>
      </c>
      <c r="Z46" s="49">
        <f t="shared" si="17"/>
        <v>135000</v>
      </c>
      <c r="AA46" s="8">
        <f>SUM(Q41:Q49)</f>
        <v>697</v>
      </c>
      <c r="AC46" t="s">
        <v>228</v>
      </c>
    </row>
    <row r="47" spans="1:29" x14ac:dyDescent="0.25">
      <c r="A47" s="3">
        <v>43</v>
      </c>
      <c r="B47" s="5" t="s">
        <v>223</v>
      </c>
      <c r="C47" s="3" t="s">
        <v>224</v>
      </c>
      <c r="D47" s="6">
        <f t="shared" si="11"/>
        <v>36553000</v>
      </c>
      <c r="E47" s="7">
        <v>7</v>
      </c>
      <c r="F47" s="7">
        <f t="shared" si="1"/>
        <v>945000</v>
      </c>
      <c r="G47" s="7"/>
      <c r="H47" s="36">
        <f t="shared" si="2"/>
        <v>0</v>
      </c>
      <c r="I47" s="7">
        <v>4</v>
      </c>
      <c r="J47" s="7">
        <f t="shared" si="9"/>
        <v>550000</v>
      </c>
      <c r="K47" s="7">
        <v>1</v>
      </c>
      <c r="L47" s="7">
        <f t="shared" si="8"/>
        <v>143000</v>
      </c>
      <c r="M47" s="7"/>
      <c r="N47" s="7">
        <f t="shared" si="10"/>
        <v>0</v>
      </c>
      <c r="O47" s="49">
        <v>49</v>
      </c>
      <c r="P47" s="49">
        <f t="shared" si="12"/>
        <v>6615000</v>
      </c>
      <c r="Q47" s="49">
        <v>66</v>
      </c>
      <c r="R47" s="49">
        <f t="shared" si="13"/>
        <v>9240000</v>
      </c>
      <c r="S47" s="49">
        <v>116</v>
      </c>
      <c r="T47" s="49">
        <f t="shared" si="14"/>
        <v>16820000</v>
      </c>
      <c r="U47" s="49">
        <v>8</v>
      </c>
      <c r="V47" s="49">
        <f t="shared" si="15"/>
        <v>1200000</v>
      </c>
      <c r="W47" s="49">
        <v>8</v>
      </c>
      <c r="X47" s="49">
        <f t="shared" si="16"/>
        <v>1040000</v>
      </c>
      <c r="Y47" s="49"/>
      <c r="Z47" s="49">
        <f t="shared" si="17"/>
        <v>0</v>
      </c>
      <c r="AA47" s="8">
        <f>SUM(S41:S49)</f>
        <v>501</v>
      </c>
      <c r="AC47" t="s">
        <v>229</v>
      </c>
    </row>
    <row r="48" spans="1:29" s="60" customFormat="1" x14ac:dyDescent="0.25">
      <c r="A48" s="3">
        <v>44</v>
      </c>
      <c r="B48" s="69" t="s">
        <v>225</v>
      </c>
      <c r="C48" s="68"/>
      <c r="D48" s="70">
        <f>F48+H48+J48+L48+N48+P48+R48+T48+V48+X48+Z48</f>
        <v>2000000</v>
      </c>
      <c r="E48" s="18"/>
      <c r="F48" s="18">
        <f t="shared" si="1"/>
        <v>0</v>
      </c>
      <c r="G48" s="18"/>
      <c r="H48" s="18"/>
      <c r="I48" s="18"/>
      <c r="J48" s="18"/>
      <c r="K48" s="18"/>
      <c r="L48" s="18"/>
      <c r="M48" s="18"/>
      <c r="N48" s="18"/>
      <c r="O48" s="71"/>
      <c r="P48" s="71">
        <f t="shared" si="12"/>
        <v>0</v>
      </c>
      <c r="Q48" s="71">
        <v>8</v>
      </c>
      <c r="R48" s="71">
        <f t="shared" si="13"/>
        <v>1120000</v>
      </c>
      <c r="S48" s="71">
        <v>4</v>
      </c>
      <c r="T48" s="71">
        <f t="shared" si="14"/>
        <v>580000</v>
      </c>
      <c r="U48" s="71">
        <v>2</v>
      </c>
      <c r="V48" s="71">
        <f t="shared" si="15"/>
        <v>300000</v>
      </c>
      <c r="W48" s="71"/>
      <c r="X48" s="71">
        <f t="shared" si="16"/>
        <v>0</v>
      </c>
      <c r="Y48" s="71"/>
      <c r="Z48" s="71">
        <f t="shared" si="17"/>
        <v>0</v>
      </c>
      <c r="AA48" s="72">
        <f>SUM(U41:U49)</f>
        <v>88</v>
      </c>
      <c r="AB48" s="73"/>
      <c r="AC48" s="60" t="s">
        <v>230</v>
      </c>
    </row>
    <row r="49" spans="1:29" x14ac:dyDescent="0.25">
      <c r="A49" s="3">
        <v>45</v>
      </c>
      <c r="B49" s="5" t="s">
        <v>226</v>
      </c>
      <c r="C49" s="3" t="s">
        <v>234</v>
      </c>
      <c r="D49" s="6">
        <f t="shared" si="11"/>
        <v>19406000</v>
      </c>
      <c r="E49" s="7">
        <v>7</v>
      </c>
      <c r="F49" s="7">
        <f t="shared" si="1"/>
        <v>945000</v>
      </c>
      <c r="G49" s="7"/>
      <c r="H49" s="36">
        <f t="shared" si="2"/>
        <v>0</v>
      </c>
      <c r="I49" s="7">
        <v>2</v>
      </c>
      <c r="J49" s="7">
        <f t="shared" si="9"/>
        <v>275000</v>
      </c>
      <c r="K49" s="7">
        <v>2</v>
      </c>
      <c r="L49" s="7">
        <f t="shared" si="8"/>
        <v>286000</v>
      </c>
      <c r="M49" s="7">
        <v>1</v>
      </c>
      <c r="N49" s="7">
        <f t="shared" si="10"/>
        <v>165000</v>
      </c>
      <c r="O49" s="49">
        <v>13</v>
      </c>
      <c r="P49" s="49">
        <f t="shared" si="12"/>
        <v>1755000</v>
      </c>
      <c r="Q49" s="49">
        <v>52</v>
      </c>
      <c r="R49" s="49">
        <f t="shared" si="13"/>
        <v>7280000</v>
      </c>
      <c r="S49" s="49">
        <v>40</v>
      </c>
      <c r="T49" s="49">
        <f t="shared" si="14"/>
        <v>5800000</v>
      </c>
      <c r="U49" s="49">
        <v>15</v>
      </c>
      <c r="V49" s="49">
        <f t="shared" si="15"/>
        <v>2250000</v>
      </c>
      <c r="W49" s="49">
        <v>5</v>
      </c>
      <c r="X49" s="49">
        <f t="shared" si="16"/>
        <v>650000</v>
      </c>
      <c r="Y49" s="49"/>
      <c r="Z49" s="49">
        <f t="shared" si="17"/>
        <v>0</v>
      </c>
      <c r="AA49" s="8">
        <f>SUM(W41:W49)</f>
        <v>148</v>
      </c>
      <c r="AC49" t="s">
        <v>231</v>
      </c>
    </row>
    <row r="50" spans="1:29" x14ac:dyDescent="0.25">
      <c r="A50" s="3">
        <v>46</v>
      </c>
      <c r="B50" s="5" t="s">
        <v>233</v>
      </c>
      <c r="C50" s="3" t="s">
        <v>235</v>
      </c>
      <c r="D50" s="6">
        <f t="shared" si="11"/>
        <v>9432000</v>
      </c>
      <c r="E50" s="7">
        <v>6</v>
      </c>
      <c r="F50" s="7">
        <f t="shared" si="1"/>
        <v>810000</v>
      </c>
      <c r="G50" s="7">
        <v>1</v>
      </c>
      <c r="H50" s="36">
        <f t="shared" si="2"/>
        <v>127000</v>
      </c>
      <c r="I50" s="7"/>
      <c r="J50" s="7">
        <f t="shared" si="9"/>
        <v>0</v>
      </c>
      <c r="K50" s="7"/>
      <c r="L50" s="7">
        <f t="shared" si="8"/>
        <v>0</v>
      </c>
      <c r="M50" s="7"/>
      <c r="N50" s="7">
        <f t="shared" si="10"/>
        <v>0</v>
      </c>
      <c r="O50" s="49">
        <v>2</v>
      </c>
      <c r="P50" s="49">
        <f t="shared" si="12"/>
        <v>270000</v>
      </c>
      <c r="Q50" s="49">
        <v>37</v>
      </c>
      <c r="R50" s="49">
        <f t="shared" si="13"/>
        <v>5180000</v>
      </c>
      <c r="S50" s="49">
        <v>18</v>
      </c>
      <c r="T50" s="49">
        <f t="shared" si="14"/>
        <v>2610000</v>
      </c>
      <c r="U50" s="49">
        <v>2</v>
      </c>
      <c r="V50" s="49">
        <f t="shared" si="15"/>
        <v>300000</v>
      </c>
      <c r="W50" s="49">
        <v>0</v>
      </c>
      <c r="X50" s="49">
        <f t="shared" si="16"/>
        <v>0</v>
      </c>
      <c r="Y50" s="49">
        <v>1</v>
      </c>
      <c r="Z50" s="49">
        <f t="shared" si="17"/>
        <v>135000</v>
      </c>
      <c r="AA50" s="8">
        <f>SUM(Y41:Y49)</f>
        <v>27</v>
      </c>
      <c r="AC50" t="s">
        <v>232</v>
      </c>
    </row>
    <row r="51" spans="1:29" x14ac:dyDescent="0.25">
      <c r="A51" s="3"/>
      <c r="B51" s="76" t="s">
        <v>23</v>
      </c>
      <c r="C51" s="77"/>
      <c r="D51" s="6">
        <f t="shared" ref="D51:Z51" si="18">SUM(D5:D50)</f>
        <v>1880095000</v>
      </c>
      <c r="E51" s="6">
        <f t="shared" si="18"/>
        <v>6949</v>
      </c>
      <c r="F51" s="6">
        <f t="shared" si="18"/>
        <v>938115000</v>
      </c>
      <c r="G51" s="6">
        <f t="shared" si="18"/>
        <v>654</v>
      </c>
      <c r="H51" s="6">
        <f t="shared" si="18"/>
        <v>83058000</v>
      </c>
      <c r="I51" s="6">
        <f t="shared" si="18"/>
        <v>1657</v>
      </c>
      <c r="J51" s="6">
        <f t="shared" si="18"/>
        <v>227108000</v>
      </c>
      <c r="K51" s="6">
        <f t="shared" si="18"/>
        <v>1401</v>
      </c>
      <c r="L51" s="6">
        <f t="shared" si="18"/>
        <v>200239000</v>
      </c>
      <c r="M51" s="6">
        <f t="shared" si="18"/>
        <v>293</v>
      </c>
      <c r="N51" s="6">
        <f t="shared" si="18"/>
        <v>48045000</v>
      </c>
      <c r="O51" s="6">
        <f t="shared" si="18"/>
        <v>340</v>
      </c>
      <c r="P51" s="6">
        <f t="shared" si="18"/>
        <v>45900000</v>
      </c>
      <c r="Q51" s="6">
        <f t="shared" si="18"/>
        <v>1079</v>
      </c>
      <c r="R51" s="6">
        <f t="shared" si="18"/>
        <v>151060000</v>
      </c>
      <c r="S51" s="6">
        <f t="shared" si="18"/>
        <v>846</v>
      </c>
      <c r="T51" s="6">
        <f t="shared" si="18"/>
        <v>122670000</v>
      </c>
      <c r="U51" s="6">
        <f t="shared" si="18"/>
        <v>103</v>
      </c>
      <c r="V51" s="6">
        <f t="shared" si="18"/>
        <v>15450000</v>
      </c>
      <c r="W51" s="6">
        <f t="shared" si="18"/>
        <v>300</v>
      </c>
      <c r="X51" s="6">
        <f t="shared" si="18"/>
        <v>39000000</v>
      </c>
      <c r="Y51" s="6">
        <f t="shared" si="18"/>
        <v>70</v>
      </c>
      <c r="Z51" s="6">
        <f t="shared" si="18"/>
        <v>9450000</v>
      </c>
    </row>
  </sheetData>
  <mergeCells count="17">
    <mergeCell ref="Y3:Z3"/>
    <mergeCell ref="O3:P3"/>
    <mergeCell ref="Q3:R3"/>
    <mergeCell ref="S3:T3"/>
    <mergeCell ref="U3:V3"/>
    <mergeCell ref="W3:X3"/>
    <mergeCell ref="A1:N1"/>
    <mergeCell ref="B51:C51"/>
    <mergeCell ref="E3:F3"/>
    <mergeCell ref="G3:H3"/>
    <mergeCell ref="I3:J3"/>
    <mergeCell ref="K3:L3"/>
    <mergeCell ref="M3:N3"/>
    <mergeCell ref="A3:A4"/>
    <mergeCell ref="B3:B4"/>
    <mergeCell ref="C3:C4"/>
    <mergeCell ref="D3:D4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I13" sqref="I13"/>
    </sheetView>
  </sheetViews>
  <sheetFormatPr defaultRowHeight="15.75" x14ac:dyDescent="0.25"/>
  <cols>
    <col min="1" max="1" width="6.75" customWidth="1"/>
    <col min="2" max="2" width="11.125" customWidth="1"/>
    <col min="3" max="5" width="8.125" customWidth="1"/>
    <col min="6" max="6" width="13.75" bestFit="1" customWidth="1"/>
    <col min="7" max="9" width="8.125" customWidth="1"/>
    <col min="10" max="10" width="13.5" bestFit="1" customWidth="1"/>
    <col min="11" max="13" width="8.25" customWidth="1"/>
  </cols>
  <sheetData>
    <row r="1" spans="1:13" x14ac:dyDescent="0.25">
      <c r="A1" t="s">
        <v>196</v>
      </c>
    </row>
    <row r="3" spans="1:13" ht="18" customHeight="1" x14ac:dyDescent="0.25">
      <c r="A3" s="83" t="s">
        <v>45</v>
      </c>
      <c r="B3" s="76" t="s">
        <v>197</v>
      </c>
      <c r="C3" s="82"/>
      <c r="D3" s="82"/>
      <c r="E3" s="77"/>
      <c r="F3" s="76" t="s">
        <v>198</v>
      </c>
      <c r="G3" s="82"/>
      <c r="H3" s="82"/>
      <c r="I3" s="77"/>
      <c r="J3" s="76" t="s">
        <v>199</v>
      </c>
      <c r="K3" s="82"/>
      <c r="L3" s="82"/>
      <c r="M3" s="77"/>
    </row>
    <row r="4" spans="1:13" ht="18" customHeight="1" x14ac:dyDescent="0.25">
      <c r="A4" s="84"/>
      <c r="B4" s="56" t="s">
        <v>203</v>
      </c>
      <c r="C4" s="56" t="s">
        <v>200</v>
      </c>
      <c r="D4" s="56" t="s">
        <v>201</v>
      </c>
      <c r="E4" s="56" t="s">
        <v>202</v>
      </c>
      <c r="F4" s="56" t="s">
        <v>203</v>
      </c>
      <c r="G4" s="56" t="s">
        <v>200</v>
      </c>
      <c r="H4" s="56" t="s">
        <v>201</v>
      </c>
      <c r="I4" s="56" t="s">
        <v>202</v>
      </c>
      <c r="J4" s="56" t="s">
        <v>203</v>
      </c>
      <c r="K4" s="56" t="s">
        <v>200</v>
      </c>
      <c r="L4" s="56" t="s">
        <v>201</v>
      </c>
      <c r="M4" s="56" t="s">
        <v>202</v>
      </c>
    </row>
    <row r="5" spans="1:13" x14ac:dyDescent="0.25">
      <c r="B5" t="s">
        <v>204</v>
      </c>
      <c r="C5">
        <f>'Nhap ao'!B5</f>
        <v>7306</v>
      </c>
      <c r="D5" s="8">
        <f>'Da nop KT'!E51</f>
        <v>6949</v>
      </c>
      <c r="E5" s="57">
        <f>C5-D5</f>
        <v>357</v>
      </c>
      <c r="F5" t="s">
        <v>207</v>
      </c>
      <c r="G5">
        <f>'Nhap do xuong'!B6+'Nhap do xuong'!B7</f>
        <v>392</v>
      </c>
      <c r="H5" s="8">
        <f>'Da nop KT'!O51</f>
        <v>340</v>
      </c>
      <c r="I5" s="57">
        <f>G5-H5</f>
        <v>52</v>
      </c>
      <c r="J5" t="s">
        <v>213</v>
      </c>
      <c r="K5">
        <f>'Nhap do TD'!B5+'Nhap do TD'!B6+'Nhap do TD'!B7</f>
        <v>1707</v>
      </c>
      <c r="L5" s="8">
        <f>'Da nop KT'!I51</f>
        <v>1657</v>
      </c>
      <c r="M5" s="58">
        <f>K5-L5</f>
        <v>50</v>
      </c>
    </row>
    <row r="6" spans="1:13" x14ac:dyDescent="0.25">
      <c r="B6" t="s">
        <v>205</v>
      </c>
      <c r="C6">
        <f>'Nhap ao'!B19</f>
        <v>694</v>
      </c>
      <c r="D6" s="8">
        <f>'Da nop KT'!G51</f>
        <v>654</v>
      </c>
      <c r="E6" s="57">
        <f t="shared" ref="E6:E7" si="0">C6-D6</f>
        <v>40</v>
      </c>
      <c r="F6" t="s">
        <v>208</v>
      </c>
      <c r="G6">
        <f>'Nhap do xuong'!B8+'Nhap do xuong'!B9</f>
        <v>1138</v>
      </c>
      <c r="H6" s="8">
        <f>'Da nop KT'!Q51</f>
        <v>1079</v>
      </c>
      <c r="I6" s="57">
        <f>G6-H6</f>
        <v>59</v>
      </c>
      <c r="J6" t="s">
        <v>214</v>
      </c>
      <c r="K6">
        <f>'Nhap do TD'!B8+'Nhap do TD'!B9</f>
        <v>1449</v>
      </c>
      <c r="L6" s="8">
        <f>'Da nop KT'!K51</f>
        <v>1401</v>
      </c>
      <c r="M6" s="58">
        <f t="shared" ref="M6:M7" si="1">K6-L6</f>
        <v>48</v>
      </c>
    </row>
    <row r="7" spans="1:13" x14ac:dyDescent="0.25">
      <c r="E7" s="19">
        <f t="shared" si="0"/>
        <v>0</v>
      </c>
      <c r="F7" t="s">
        <v>209</v>
      </c>
      <c r="G7">
        <f>'Nhap do xuong'!B10+'Nhap do xuong'!B11+'Nhap do xuong'!B12</f>
        <v>1202</v>
      </c>
      <c r="H7" s="8">
        <f>'Da nop KT'!S51</f>
        <v>846</v>
      </c>
      <c r="I7" s="57">
        <f t="shared" ref="I7:I10" si="2">G7-H7</f>
        <v>356</v>
      </c>
      <c r="J7" t="s">
        <v>215</v>
      </c>
      <c r="K7">
        <f>'Nhap do TD'!B10+'Nhap do TD'!B11+'Nhap do TD'!B12</f>
        <v>390</v>
      </c>
      <c r="L7" s="8">
        <f>'Da nop KT'!M51</f>
        <v>293</v>
      </c>
      <c r="M7" s="58">
        <f t="shared" si="1"/>
        <v>97</v>
      </c>
    </row>
    <row r="8" spans="1:13" x14ac:dyDescent="0.25">
      <c r="E8" s="8"/>
      <c r="F8" t="s">
        <v>210</v>
      </c>
      <c r="G8">
        <f>'Nhap do xuong'!B13+'Nhap do xuong'!B14+'Nhap do xuong'!B15</f>
        <v>213</v>
      </c>
      <c r="H8" s="8">
        <f>'Da nop KT'!U51</f>
        <v>103</v>
      </c>
      <c r="I8" s="57">
        <f t="shared" si="2"/>
        <v>110</v>
      </c>
    </row>
    <row r="9" spans="1:13" x14ac:dyDescent="0.25">
      <c r="E9" s="8"/>
      <c r="F9" t="s">
        <v>211</v>
      </c>
      <c r="G9">
        <f>'Nhap do xuong'!B17+'Nhap do xuong'!B18+'Nhap do xuong'!B19+'Nhap do xuong'!B20+'Nhap do xuong'!B21+'Nhap do xuong'!B22</f>
        <v>368</v>
      </c>
      <c r="H9" s="8">
        <f>'Da nop KT'!W51</f>
        <v>300</v>
      </c>
      <c r="I9" s="57">
        <f t="shared" si="2"/>
        <v>68</v>
      </c>
    </row>
    <row r="10" spans="1:13" x14ac:dyDescent="0.25">
      <c r="E10" s="8"/>
      <c r="F10" t="s">
        <v>212</v>
      </c>
      <c r="G10">
        <f>'Nhap do xuong'!B23+'Nhap do xuong'!B24</f>
        <v>127</v>
      </c>
      <c r="H10" s="8">
        <f>'Da nop KT'!Y51</f>
        <v>70</v>
      </c>
      <c r="I10" s="57">
        <f t="shared" si="2"/>
        <v>57</v>
      </c>
    </row>
    <row r="11" spans="1:13" x14ac:dyDescent="0.25">
      <c r="E11" s="8"/>
      <c r="I11" s="8"/>
    </row>
    <row r="12" spans="1:13" x14ac:dyDescent="0.25">
      <c r="E12" s="8"/>
      <c r="I12" s="8">
        <f>SUM(I5:I11)</f>
        <v>702</v>
      </c>
    </row>
    <row r="13" spans="1:13" x14ac:dyDescent="0.25">
      <c r="E13" s="8"/>
    </row>
    <row r="14" spans="1:13" x14ac:dyDescent="0.25">
      <c r="E14" s="8"/>
    </row>
    <row r="15" spans="1:13" x14ac:dyDescent="0.25">
      <c r="E15" s="8"/>
    </row>
  </sheetData>
  <mergeCells count="4">
    <mergeCell ref="B3:E3"/>
    <mergeCell ref="F3:I3"/>
    <mergeCell ref="J3:M3"/>
    <mergeCell ref="A3:A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7" workbookViewId="0">
      <selection activeCell="D20" sqref="D20"/>
    </sheetView>
  </sheetViews>
  <sheetFormatPr defaultRowHeight="15.75" x14ac:dyDescent="0.25"/>
  <cols>
    <col min="1" max="1" width="4.25" customWidth="1"/>
    <col min="2" max="2" width="34.625" bestFit="1" customWidth="1"/>
    <col min="3" max="3" width="7.25" customWidth="1"/>
    <col min="4" max="4" width="8.875" customWidth="1"/>
    <col min="5" max="5" width="10.125" customWidth="1"/>
    <col min="6" max="6" width="14.875" customWidth="1"/>
    <col min="7" max="7" width="12.375" customWidth="1"/>
  </cols>
  <sheetData>
    <row r="1" spans="1:7" x14ac:dyDescent="0.25">
      <c r="A1" s="86" t="s">
        <v>91</v>
      </c>
      <c r="B1" s="86"/>
      <c r="C1" s="87" t="s">
        <v>93</v>
      </c>
      <c r="D1" s="87"/>
      <c r="E1" s="87"/>
      <c r="F1" s="87"/>
      <c r="G1" s="87"/>
    </row>
    <row r="2" spans="1:7" x14ac:dyDescent="0.25">
      <c r="A2" s="86" t="s">
        <v>92</v>
      </c>
      <c r="B2" s="86"/>
      <c r="C2" s="87" t="s">
        <v>94</v>
      </c>
      <c r="D2" s="87"/>
      <c r="E2" s="87"/>
      <c r="F2" s="87"/>
      <c r="G2" s="87"/>
    </row>
    <row r="3" spans="1:7" x14ac:dyDescent="0.25">
      <c r="A3" s="87" t="s">
        <v>135</v>
      </c>
      <c r="B3" s="87"/>
    </row>
    <row r="4" spans="1:7" x14ac:dyDescent="0.25">
      <c r="A4" s="87" t="s">
        <v>139</v>
      </c>
      <c r="B4" s="87"/>
    </row>
    <row r="5" spans="1:7" ht="16.5" x14ac:dyDescent="0.25">
      <c r="D5" s="85" t="s">
        <v>247</v>
      </c>
      <c r="E5" s="85"/>
      <c r="F5" s="85"/>
      <c r="G5" s="85"/>
    </row>
    <row r="7" spans="1:7" ht="18.75" x14ac:dyDescent="0.3">
      <c r="A7" s="75" t="s">
        <v>95</v>
      </c>
      <c r="B7" s="75"/>
      <c r="C7" s="75"/>
      <c r="D7" s="75"/>
      <c r="E7" s="75"/>
      <c r="F7" s="75"/>
      <c r="G7" s="75"/>
    </row>
    <row r="8" spans="1:7" ht="18.75" x14ac:dyDescent="0.3">
      <c r="A8" s="75" t="s">
        <v>248</v>
      </c>
      <c r="B8" s="75"/>
      <c r="C8" s="75"/>
      <c r="D8" s="75"/>
      <c r="E8" s="75"/>
      <c r="F8" s="75"/>
      <c r="G8" s="75"/>
    </row>
    <row r="10" spans="1:7" s="10" customFormat="1" ht="33.75" customHeight="1" x14ac:dyDescent="0.25">
      <c r="A10" s="9" t="s">
        <v>45</v>
      </c>
      <c r="B10" s="9" t="s">
        <v>96</v>
      </c>
      <c r="C10" s="9" t="s">
        <v>97</v>
      </c>
      <c r="D10" s="43" t="s">
        <v>166</v>
      </c>
      <c r="E10" s="9" t="s">
        <v>98</v>
      </c>
      <c r="F10" s="9" t="s">
        <v>48</v>
      </c>
      <c r="G10" s="9" t="s">
        <v>99</v>
      </c>
    </row>
    <row r="11" spans="1:7" s="10" customFormat="1" ht="21" customHeight="1" x14ac:dyDescent="0.25">
      <c r="A11" s="11">
        <v>1</v>
      </c>
      <c r="B11" s="12" t="s">
        <v>249</v>
      </c>
      <c r="C11" s="11" t="s">
        <v>101</v>
      </c>
      <c r="D11" s="13">
        <v>330</v>
      </c>
      <c r="E11" s="13">
        <v>135000</v>
      </c>
      <c r="F11" s="13">
        <f>D11*E11</f>
        <v>44550000</v>
      </c>
      <c r="G11" s="12"/>
    </row>
    <row r="12" spans="1:7" s="10" customFormat="1" ht="21" customHeight="1" x14ac:dyDescent="0.25">
      <c r="A12" s="11">
        <v>2</v>
      </c>
      <c r="B12" s="12" t="s">
        <v>250</v>
      </c>
      <c r="C12" s="11" t="s">
        <v>101</v>
      </c>
      <c r="D12" s="13">
        <v>31</v>
      </c>
      <c r="E12" s="13">
        <v>127000</v>
      </c>
      <c r="F12" s="13">
        <f t="shared" ref="F12:F18" si="0">D12*E12</f>
        <v>3937000</v>
      </c>
      <c r="G12" s="12"/>
    </row>
    <row r="13" spans="1:7" s="10" customFormat="1" ht="21" customHeight="1" x14ac:dyDescent="0.25">
      <c r="A13" s="11">
        <v>3</v>
      </c>
      <c r="B13" s="12" t="s">
        <v>251</v>
      </c>
      <c r="C13" s="11" t="s">
        <v>101</v>
      </c>
      <c r="D13" s="13">
        <v>15</v>
      </c>
      <c r="E13" s="13">
        <v>135000</v>
      </c>
      <c r="F13" s="13">
        <f t="shared" si="0"/>
        <v>2025000</v>
      </c>
      <c r="G13" s="12"/>
    </row>
    <row r="14" spans="1:7" s="10" customFormat="1" ht="21" customHeight="1" x14ac:dyDescent="0.25">
      <c r="A14" s="11">
        <v>4</v>
      </c>
      <c r="B14" s="12" t="s">
        <v>252</v>
      </c>
      <c r="C14" s="11" t="s">
        <v>101</v>
      </c>
      <c r="D14" s="13">
        <v>47</v>
      </c>
      <c r="E14" s="13">
        <v>140000</v>
      </c>
      <c r="F14" s="13">
        <f t="shared" si="0"/>
        <v>6580000</v>
      </c>
      <c r="G14" s="12"/>
    </row>
    <row r="15" spans="1:7" s="10" customFormat="1" ht="21" customHeight="1" x14ac:dyDescent="0.25">
      <c r="A15" s="11">
        <v>5</v>
      </c>
      <c r="B15" s="12" t="s">
        <v>253</v>
      </c>
      <c r="C15" s="11" t="s">
        <v>101</v>
      </c>
      <c r="D15" s="13">
        <v>60</v>
      </c>
      <c r="E15" s="13">
        <v>145000</v>
      </c>
      <c r="F15" s="13">
        <f t="shared" si="0"/>
        <v>8700000</v>
      </c>
      <c r="G15" s="12"/>
    </row>
    <row r="16" spans="1:7" s="10" customFormat="1" ht="21" customHeight="1" x14ac:dyDescent="0.25">
      <c r="A16" s="11">
        <v>6</v>
      </c>
      <c r="B16" s="12" t="s">
        <v>254</v>
      </c>
      <c r="C16" s="11" t="s">
        <v>101</v>
      </c>
      <c r="D16" s="13">
        <v>20</v>
      </c>
      <c r="E16" s="13">
        <v>150000</v>
      </c>
      <c r="F16" s="13">
        <f t="shared" si="0"/>
        <v>3000000</v>
      </c>
      <c r="G16" s="12"/>
    </row>
    <row r="17" spans="1:7" s="10" customFormat="1" ht="21" customHeight="1" x14ac:dyDescent="0.25">
      <c r="A17" s="11">
        <v>7</v>
      </c>
      <c r="B17" s="12" t="s">
        <v>255</v>
      </c>
      <c r="C17" s="11" t="s">
        <v>101</v>
      </c>
      <c r="D17" s="13">
        <v>10</v>
      </c>
      <c r="E17" s="13">
        <v>130000</v>
      </c>
      <c r="F17" s="13">
        <f t="shared" si="0"/>
        <v>1300000</v>
      </c>
      <c r="G17" s="12"/>
    </row>
    <row r="18" spans="1:7" s="10" customFormat="1" ht="21" customHeight="1" x14ac:dyDescent="0.25">
      <c r="A18" s="11">
        <v>8</v>
      </c>
      <c r="B18" s="12" t="s">
        <v>256</v>
      </c>
      <c r="C18" s="11" t="s">
        <v>101</v>
      </c>
      <c r="D18" s="13">
        <v>3</v>
      </c>
      <c r="E18" s="13">
        <v>135000</v>
      </c>
      <c r="F18" s="13">
        <f t="shared" si="0"/>
        <v>405000</v>
      </c>
      <c r="G18" s="12"/>
    </row>
    <row r="19" spans="1:7" s="10" customFormat="1" ht="21" customHeight="1" x14ac:dyDescent="0.25">
      <c r="A19" s="11">
        <v>9</v>
      </c>
      <c r="B19" s="12" t="s">
        <v>257</v>
      </c>
      <c r="C19" s="11" t="s">
        <v>102</v>
      </c>
      <c r="D19" s="13">
        <v>34</v>
      </c>
      <c r="E19" s="13">
        <v>138000</v>
      </c>
      <c r="F19" s="13">
        <f>D19*E19</f>
        <v>4692000</v>
      </c>
      <c r="G19" s="12"/>
    </row>
    <row r="20" spans="1:7" s="10" customFormat="1" ht="21" customHeight="1" x14ac:dyDescent="0.25">
      <c r="A20" s="11">
        <v>10</v>
      </c>
      <c r="B20" s="12" t="s">
        <v>258</v>
      </c>
      <c r="C20" s="11" t="s">
        <v>102</v>
      </c>
      <c r="D20" s="13">
        <v>30</v>
      </c>
      <c r="E20" s="13">
        <v>145000</v>
      </c>
      <c r="F20" s="13">
        <f>D20*E20</f>
        <v>4350000</v>
      </c>
      <c r="G20" s="12"/>
    </row>
    <row r="21" spans="1:7" s="10" customFormat="1" ht="21" customHeight="1" x14ac:dyDescent="0.25">
      <c r="A21" s="11">
        <v>11</v>
      </c>
      <c r="B21" s="12" t="s">
        <v>100</v>
      </c>
      <c r="C21" s="11" t="s">
        <v>102</v>
      </c>
      <c r="D21" s="13">
        <v>31</v>
      </c>
      <c r="E21" s="13">
        <v>165000</v>
      </c>
      <c r="F21" s="13">
        <f>D21*E21</f>
        <v>5115000</v>
      </c>
      <c r="G21" s="12"/>
    </row>
    <row r="22" spans="1:7" s="10" customFormat="1" ht="21" customHeight="1" x14ac:dyDescent="0.25">
      <c r="A22" s="11"/>
      <c r="B22" s="17" t="s">
        <v>23</v>
      </c>
      <c r="C22" s="12"/>
      <c r="D22" s="13"/>
      <c r="E22" s="13"/>
      <c r="F22" s="14">
        <f>SUM(F11:F21)</f>
        <v>84654000</v>
      </c>
      <c r="G22" s="12"/>
    </row>
    <row r="23" spans="1:7" s="10" customFormat="1" ht="16.5" x14ac:dyDescent="0.25">
      <c r="B23" s="16"/>
    </row>
    <row r="24" spans="1:7" s="10" customFormat="1" ht="16.5" x14ac:dyDescent="0.25">
      <c r="A24" s="10" t="s">
        <v>259</v>
      </c>
    </row>
    <row r="25" spans="1:7" s="10" customFormat="1" ht="16.5" x14ac:dyDescent="0.25"/>
    <row r="26" spans="1:7" s="10" customFormat="1" ht="16.5" x14ac:dyDescent="0.25">
      <c r="B26" s="15" t="s">
        <v>105</v>
      </c>
      <c r="F26" s="15" t="s">
        <v>103</v>
      </c>
    </row>
    <row r="27" spans="1:7" s="10" customFormat="1" ht="16.5" x14ac:dyDescent="0.25"/>
    <row r="28" spans="1:7" s="10" customFormat="1" ht="16.5" x14ac:dyDescent="0.25"/>
    <row r="29" spans="1:7" s="10" customFormat="1" ht="16.5" x14ac:dyDescent="0.25"/>
    <row r="30" spans="1:7" s="10" customFormat="1" ht="16.5" x14ac:dyDescent="0.25"/>
    <row r="31" spans="1:7" s="10" customFormat="1" ht="16.5" x14ac:dyDescent="0.25">
      <c r="B31" s="15"/>
    </row>
    <row r="32" spans="1:7" s="10" customFormat="1" ht="16.5" x14ac:dyDescent="0.25">
      <c r="B32" s="15" t="s">
        <v>123</v>
      </c>
      <c r="F32" s="15" t="s">
        <v>104</v>
      </c>
    </row>
    <row r="33" s="10" customFormat="1" ht="16.5" x14ac:dyDescent="0.25"/>
    <row r="34" s="10" customFormat="1" ht="16.5" x14ac:dyDescent="0.25"/>
    <row r="35" s="10" customFormat="1" ht="16.5" x14ac:dyDescent="0.25"/>
    <row r="36" s="10" customFormat="1" ht="16.5" x14ac:dyDescent="0.25"/>
    <row r="37" s="10" customFormat="1" ht="16.5" x14ac:dyDescent="0.25"/>
  </sheetData>
  <mergeCells count="9">
    <mergeCell ref="D5:G5"/>
    <mergeCell ref="A7:G7"/>
    <mergeCell ref="A8:G8"/>
    <mergeCell ref="A1:B1"/>
    <mergeCell ref="A2:B2"/>
    <mergeCell ref="A3:B3"/>
    <mergeCell ref="A4:B4"/>
    <mergeCell ref="C1:G1"/>
    <mergeCell ref="C2:G2"/>
  </mergeCells>
  <printOptions horizontalCentered="1"/>
  <pageMargins left="0.51181102362204722" right="0.19685039370078741" top="0.74803149606299213" bottom="0.15748031496062992" header="0.78740157480314965" footer="0.11811023622047245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3"/>
  <sheetViews>
    <sheetView topLeftCell="A4" workbookViewId="0">
      <selection activeCell="G16" sqref="G16"/>
    </sheetView>
  </sheetViews>
  <sheetFormatPr defaultRowHeight="15.75" x14ac:dyDescent="0.25"/>
  <cols>
    <col min="1" max="1" width="17.25" bestFit="1" customWidth="1"/>
    <col min="2" max="2" width="9.875" customWidth="1"/>
    <col min="3" max="3" width="12.75" customWidth="1"/>
    <col min="6" max="6" width="10.75" customWidth="1"/>
  </cols>
  <sheetData>
    <row r="1" spans="1:9" x14ac:dyDescent="0.25">
      <c r="A1" t="s">
        <v>111</v>
      </c>
      <c r="B1" s="1" t="s">
        <v>112</v>
      </c>
      <c r="C1" s="1" t="s">
        <v>48</v>
      </c>
    </row>
    <row r="2" spans="1:9" x14ac:dyDescent="0.25">
      <c r="A2" s="1" t="s">
        <v>23</v>
      </c>
      <c r="B2" s="19">
        <f>SUM(B3:B4)</f>
        <v>7603</v>
      </c>
      <c r="C2" s="19">
        <f>SUM(C3:C4)</f>
        <v>1021173000</v>
      </c>
      <c r="D2" s="8"/>
      <c r="E2" s="8"/>
      <c r="F2" s="8"/>
      <c r="G2" s="8"/>
      <c r="H2" s="8"/>
      <c r="I2" s="8"/>
    </row>
    <row r="3" spans="1:9" x14ac:dyDescent="0.25">
      <c r="A3" t="s">
        <v>46</v>
      </c>
      <c r="B3" s="8">
        <f>'Da nop KT'!E51</f>
        <v>6949</v>
      </c>
      <c r="C3" s="8">
        <f>'Da nop KT'!F51</f>
        <v>938115000</v>
      </c>
      <c r="D3" s="8"/>
      <c r="E3" s="8"/>
      <c r="F3" s="8"/>
      <c r="G3" s="8"/>
      <c r="H3" s="8"/>
      <c r="I3" s="8"/>
    </row>
    <row r="4" spans="1:9" x14ac:dyDescent="0.25">
      <c r="A4" t="s">
        <v>49</v>
      </c>
      <c r="B4" s="8">
        <f>'Da nop KT'!G51</f>
        <v>654</v>
      </c>
      <c r="C4" s="8">
        <f>'Da nop KT'!H51</f>
        <v>83058000</v>
      </c>
      <c r="D4" s="8"/>
      <c r="E4" s="8"/>
      <c r="F4" s="8"/>
      <c r="G4" s="8"/>
      <c r="H4" s="8"/>
      <c r="I4" s="8"/>
    </row>
    <row r="5" spans="1:9" x14ac:dyDescent="0.25">
      <c r="B5" s="8"/>
      <c r="C5" s="8"/>
      <c r="D5" s="8"/>
      <c r="E5" s="8"/>
      <c r="F5" s="8"/>
      <c r="G5" s="8"/>
      <c r="H5" s="8"/>
      <c r="I5" s="8"/>
    </row>
    <row r="6" spans="1:9" x14ac:dyDescent="0.25">
      <c r="B6" s="8"/>
      <c r="C6" s="8"/>
      <c r="D6" s="8"/>
      <c r="E6" s="8"/>
      <c r="F6" s="8"/>
      <c r="G6" s="8"/>
      <c r="H6" s="8"/>
      <c r="I6" s="8"/>
    </row>
    <row r="7" spans="1:9" x14ac:dyDescent="0.25">
      <c r="A7" t="s">
        <v>113</v>
      </c>
      <c r="B7" s="1" t="s">
        <v>112</v>
      </c>
      <c r="C7" s="1" t="s">
        <v>48</v>
      </c>
      <c r="D7" s="8"/>
      <c r="E7" s="8"/>
      <c r="F7" s="8"/>
      <c r="G7" s="8"/>
      <c r="H7" s="8"/>
      <c r="I7" s="8"/>
    </row>
    <row r="8" spans="1:9" x14ac:dyDescent="0.25">
      <c r="A8" s="1" t="s">
        <v>23</v>
      </c>
      <c r="B8" s="19">
        <f>SUM(B9:B11)</f>
        <v>3351</v>
      </c>
      <c r="C8" s="19">
        <f>SUM(C9:C11)</f>
        <v>475392000</v>
      </c>
      <c r="D8" s="8"/>
      <c r="E8" s="8"/>
      <c r="F8" s="8"/>
      <c r="G8" s="8"/>
      <c r="H8" s="8"/>
      <c r="I8" s="8"/>
    </row>
    <row r="9" spans="1:9" x14ac:dyDescent="0.25">
      <c r="A9" t="s">
        <v>114</v>
      </c>
      <c r="B9" s="8">
        <f>'Da nop KT'!I51</f>
        <v>1657</v>
      </c>
      <c r="C9" s="8">
        <f>'Da nop KT'!J51</f>
        <v>227108000</v>
      </c>
      <c r="D9" s="8"/>
      <c r="E9" s="8"/>
      <c r="F9" s="8"/>
      <c r="G9" s="8"/>
      <c r="H9" s="8"/>
      <c r="I9" s="8"/>
    </row>
    <row r="10" spans="1:9" x14ac:dyDescent="0.25">
      <c r="A10" t="s">
        <v>115</v>
      </c>
      <c r="B10" s="8">
        <f>'Da nop KT'!K51</f>
        <v>1401</v>
      </c>
      <c r="C10" s="8">
        <f>'Da nop KT'!L51</f>
        <v>200239000</v>
      </c>
      <c r="D10" s="8"/>
      <c r="E10" s="8"/>
      <c r="F10" s="8"/>
      <c r="G10" s="8"/>
      <c r="H10" s="8"/>
      <c r="I10" s="8"/>
    </row>
    <row r="11" spans="1:9" x14ac:dyDescent="0.25">
      <c r="A11" t="s">
        <v>116</v>
      </c>
      <c r="B11" s="8">
        <f>'Da nop KT'!M51</f>
        <v>293</v>
      </c>
      <c r="C11" s="8">
        <f>'Da nop KT'!N51</f>
        <v>48045000</v>
      </c>
      <c r="D11" s="8"/>
      <c r="E11" s="8"/>
      <c r="F11" s="8"/>
      <c r="G11" s="8"/>
      <c r="H11" s="8"/>
      <c r="I11" s="8"/>
    </row>
    <row r="12" spans="1:9" x14ac:dyDescent="0.25">
      <c r="B12" s="8"/>
      <c r="C12" s="8"/>
      <c r="D12" s="8"/>
      <c r="E12" s="8"/>
      <c r="F12" s="8"/>
      <c r="G12" s="8"/>
      <c r="H12" s="8"/>
      <c r="I12" s="8"/>
    </row>
    <row r="13" spans="1:9" ht="41.25" customHeight="1" x14ac:dyDescent="0.25">
      <c r="A13" s="20" t="s">
        <v>118</v>
      </c>
      <c r="B13" s="19" t="s">
        <v>119</v>
      </c>
      <c r="C13" s="19" t="s">
        <v>46</v>
      </c>
      <c r="D13" s="19" t="s">
        <v>49</v>
      </c>
      <c r="E13" s="8"/>
      <c r="F13" s="8" t="s">
        <v>142</v>
      </c>
      <c r="G13" s="8"/>
      <c r="H13" s="8"/>
      <c r="I13" s="8"/>
    </row>
    <row r="14" spans="1:9" x14ac:dyDescent="0.25">
      <c r="A14" t="s">
        <v>117</v>
      </c>
      <c r="B14" s="19">
        <f>SUM(C14:D14)</f>
        <v>1889</v>
      </c>
      <c r="C14" s="8">
        <v>1721</v>
      </c>
      <c r="D14" s="8">
        <v>168</v>
      </c>
      <c r="E14" s="8"/>
      <c r="F14" s="8" t="s">
        <v>117</v>
      </c>
      <c r="G14" s="8">
        <f>SUM(B14:B15)</f>
        <v>6116</v>
      </c>
      <c r="H14" s="8"/>
      <c r="I14" s="8"/>
    </row>
    <row r="15" spans="1:9" x14ac:dyDescent="0.25">
      <c r="A15" t="s">
        <v>120</v>
      </c>
      <c r="B15" s="19">
        <f t="shared" ref="B15:B17" si="0">SUM(C15:D15)</f>
        <v>4227</v>
      </c>
      <c r="C15" s="8">
        <v>3861</v>
      </c>
      <c r="D15" s="8">
        <v>366</v>
      </c>
      <c r="E15" s="8"/>
      <c r="F15" s="8"/>
      <c r="G15" s="8"/>
      <c r="H15" s="8"/>
      <c r="I15" s="8"/>
    </row>
    <row r="16" spans="1:9" x14ac:dyDescent="0.25">
      <c r="A16" t="s">
        <v>159</v>
      </c>
      <c r="B16" s="19">
        <f t="shared" si="0"/>
        <v>1063</v>
      </c>
      <c r="C16" s="8">
        <v>992</v>
      </c>
      <c r="D16" s="8">
        <v>71</v>
      </c>
      <c r="E16" s="8"/>
      <c r="F16" s="8" t="s">
        <v>120</v>
      </c>
      <c r="G16" s="8">
        <f>SUM(B16:B17)</f>
        <v>1350</v>
      </c>
      <c r="H16" s="8">
        <v>3227</v>
      </c>
      <c r="I16" s="8"/>
    </row>
    <row r="17" spans="1:9" x14ac:dyDescent="0.25">
      <c r="A17" t="s">
        <v>160</v>
      </c>
      <c r="B17" s="19">
        <f t="shared" si="0"/>
        <v>287</v>
      </c>
      <c r="C17" s="8">
        <v>259</v>
      </c>
      <c r="D17" s="8">
        <v>28</v>
      </c>
      <c r="E17" s="8"/>
      <c r="F17" s="8"/>
      <c r="G17" s="8"/>
      <c r="H17" s="8"/>
      <c r="I17" s="8"/>
    </row>
    <row r="18" spans="1:9" x14ac:dyDescent="0.25">
      <c r="B18" s="19"/>
      <c r="C18" s="8">
        <f>SUM(C14:C17)</f>
        <v>6833</v>
      </c>
      <c r="D18" s="8">
        <f>SUM(D14:D17)</f>
        <v>633</v>
      </c>
      <c r="E18" s="8"/>
      <c r="F18" s="8"/>
      <c r="G18" s="8"/>
      <c r="H18" s="8"/>
      <c r="I18" s="8"/>
    </row>
    <row r="19" spans="1:9" ht="31.5" x14ac:dyDescent="0.25">
      <c r="A19" s="20" t="s">
        <v>143</v>
      </c>
      <c r="B19" t="s">
        <v>119</v>
      </c>
      <c r="C19" s="30" t="s">
        <v>144</v>
      </c>
      <c r="D19" s="8" t="s">
        <v>145</v>
      </c>
      <c r="E19" s="29" t="s">
        <v>146</v>
      </c>
      <c r="F19" s="8"/>
      <c r="G19" s="8"/>
      <c r="H19" s="8"/>
      <c r="I19" s="8"/>
    </row>
    <row r="20" spans="1:9" x14ac:dyDescent="0.25">
      <c r="A20" t="s">
        <v>117</v>
      </c>
      <c r="B20" s="19">
        <f>SUM(C20:E20)</f>
        <v>2030</v>
      </c>
      <c r="C20" s="19">
        <f>21+104+840</f>
        <v>965</v>
      </c>
      <c r="D20" s="8">
        <f>13+47+814</f>
        <v>874</v>
      </c>
      <c r="E20" s="8">
        <f>3+27+161</f>
        <v>191</v>
      </c>
      <c r="F20" s="8"/>
      <c r="G20" s="8"/>
      <c r="H20" s="8"/>
      <c r="I20" s="8"/>
    </row>
    <row r="21" spans="1:9" x14ac:dyDescent="0.25">
      <c r="A21" t="s">
        <v>120</v>
      </c>
      <c r="B21" s="19">
        <f>SUM(C21:E21)</f>
        <v>1197</v>
      </c>
      <c r="C21" s="8">
        <v>646</v>
      </c>
      <c r="D21" s="8">
        <v>456</v>
      </c>
      <c r="E21" s="8">
        <v>95</v>
      </c>
      <c r="F21" s="8"/>
      <c r="G21" s="8"/>
      <c r="H21" s="8"/>
      <c r="I21" s="8"/>
    </row>
    <row r="22" spans="1:9" x14ac:dyDescent="0.25">
      <c r="B22" s="8">
        <f>SUM(B20:B21)</f>
        <v>3227</v>
      </c>
      <c r="C22" s="8">
        <f t="shared" ref="C22:E22" si="1">SUM(C20:C21)</f>
        <v>1611</v>
      </c>
      <c r="D22" s="8">
        <f t="shared" si="1"/>
        <v>1330</v>
      </c>
      <c r="E22" s="8">
        <f t="shared" si="1"/>
        <v>286</v>
      </c>
      <c r="F22" s="8"/>
      <c r="G22" s="8"/>
      <c r="H22" s="8"/>
      <c r="I22" s="8"/>
    </row>
    <row r="23" spans="1:9" x14ac:dyDescent="0.25">
      <c r="B23" s="8"/>
      <c r="C23" s="8"/>
      <c r="D23" s="8"/>
      <c r="E23" s="8"/>
      <c r="F23" s="8"/>
      <c r="G23" s="8"/>
      <c r="H23" s="8"/>
      <c r="I23" s="8"/>
    </row>
  </sheetData>
  <pageMargins left="0.7" right="0.7" top="0.75" bottom="0.75" header="0.3" footer="0.3"/>
  <pageSetup orientation="portrait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I7" sqref="I7"/>
    </sheetView>
  </sheetViews>
  <sheetFormatPr defaultRowHeight="15.75" x14ac:dyDescent="0.25"/>
  <cols>
    <col min="1" max="4" width="8.875" customWidth="1"/>
    <col min="5" max="5" width="10.375" customWidth="1"/>
    <col min="6" max="9" width="8.875" customWidth="1"/>
    <col min="10" max="10" width="10.75" customWidth="1"/>
  </cols>
  <sheetData>
    <row r="1" spans="1:10" ht="47.25" x14ac:dyDescent="0.25">
      <c r="A1" s="21" t="s">
        <v>124</v>
      </c>
      <c r="B1" s="21" t="s">
        <v>125</v>
      </c>
      <c r="C1" s="21" t="s">
        <v>126</v>
      </c>
      <c r="D1" s="21" t="s">
        <v>127</v>
      </c>
      <c r="E1" s="21" t="s">
        <v>128</v>
      </c>
      <c r="F1" s="21" t="s">
        <v>129</v>
      </c>
      <c r="G1" s="21" t="s">
        <v>130</v>
      </c>
      <c r="H1" s="21" t="s">
        <v>126</v>
      </c>
      <c r="I1" s="21" t="s">
        <v>127</v>
      </c>
      <c r="J1" s="21" t="s">
        <v>128</v>
      </c>
    </row>
    <row r="2" spans="1:10" ht="21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0" ht="21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</row>
    <row r="4" spans="1:10" ht="21" customHeight="1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</row>
    <row r="5" spans="1:10" ht="21" customHeight="1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</row>
    <row r="6" spans="1:10" ht="21" customHeight="1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</row>
    <row r="7" spans="1:10" ht="21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</row>
    <row r="8" spans="1:10" ht="21" customHeight="1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</row>
    <row r="9" spans="1:10" ht="21" customHeight="1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</row>
    <row r="10" spans="1:10" ht="21" customHeight="1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</row>
    <row r="11" spans="1:10" ht="21" customHeight="1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</row>
    <row r="12" spans="1:10" ht="21" customHeight="1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</row>
    <row r="13" spans="1:10" ht="21" customHeight="1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</row>
    <row r="14" spans="1:10" ht="21" customHeight="1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</row>
    <row r="15" spans="1:10" ht="21" customHeight="1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</row>
    <row r="16" spans="1:10" ht="21" customHeight="1" x14ac:dyDescent="0.25">
      <c r="A16" s="22"/>
      <c r="B16" s="22"/>
      <c r="C16" s="22"/>
      <c r="D16" s="22"/>
      <c r="E16" s="22"/>
      <c r="F16" s="22"/>
      <c r="G16" s="22"/>
      <c r="H16" s="22"/>
      <c r="I16" s="22"/>
      <c r="J16" s="22"/>
    </row>
    <row r="17" spans="1:10" ht="21" customHeight="1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</row>
    <row r="18" spans="1:10" ht="21" customHeight="1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</row>
    <row r="19" spans="1:10" ht="21" customHeight="1" x14ac:dyDescent="0.25">
      <c r="A19" s="22"/>
      <c r="B19" s="22"/>
      <c r="C19" s="22"/>
      <c r="D19" s="22"/>
      <c r="E19" s="22"/>
      <c r="F19" s="22"/>
      <c r="G19" s="22"/>
      <c r="H19" s="22"/>
      <c r="I19" s="22"/>
      <c r="J19" s="22"/>
    </row>
    <row r="20" spans="1:10" ht="21" customHeight="1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</row>
    <row r="21" spans="1:10" ht="21" customHeight="1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</row>
    <row r="22" spans="1:10" ht="21" customHeight="1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</row>
    <row r="23" spans="1:10" ht="21" customHeight="1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</row>
    <row r="24" spans="1:10" ht="21" customHeight="1" x14ac:dyDescent="0.25">
      <c r="A24" s="22"/>
      <c r="B24" s="22"/>
      <c r="C24" s="22"/>
      <c r="D24" s="22"/>
      <c r="E24" s="22"/>
      <c r="F24" s="22"/>
      <c r="G24" s="22"/>
      <c r="H24" s="22"/>
      <c r="I24" s="22"/>
      <c r="J24" s="22"/>
    </row>
    <row r="25" spans="1:10" ht="21" customHeight="1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</row>
    <row r="26" spans="1:10" ht="21" customHeight="1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</row>
    <row r="27" spans="1:10" ht="21" customHeight="1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</row>
    <row r="28" spans="1:10" ht="21" customHeight="1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</row>
    <row r="29" spans="1:10" ht="21" customHeight="1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</row>
    <row r="30" spans="1:10" ht="21" customHeight="1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</row>
    <row r="31" spans="1:10" ht="21" customHeight="1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</row>
    <row r="32" spans="1:10" ht="21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</row>
    <row r="33" spans="1:10" ht="21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</row>
  </sheetData>
  <pageMargins left="0.31496062992125984" right="0.31496062992125984" top="0.55118110236220474" bottom="0.55118110236220474" header="0.51181102362204722" footer="0.51181102362204722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selection activeCell="D3" sqref="D3"/>
    </sheetView>
  </sheetViews>
  <sheetFormatPr defaultRowHeight="15.75" x14ac:dyDescent="0.25"/>
  <cols>
    <col min="1" max="3" width="8" customWidth="1"/>
    <col min="4" max="5" width="8.125" customWidth="1"/>
    <col min="6" max="6" width="10.25" customWidth="1"/>
    <col min="7" max="10" width="8.25" customWidth="1"/>
    <col min="11" max="11" width="9.625" customWidth="1"/>
  </cols>
  <sheetData>
    <row r="1" spans="1:11" ht="81.75" customHeight="1" x14ac:dyDescent="0.25">
      <c r="A1" s="42" t="s">
        <v>236</v>
      </c>
      <c r="B1" s="74" t="s">
        <v>237</v>
      </c>
      <c r="C1" s="42" t="s">
        <v>238</v>
      </c>
      <c r="D1" s="74" t="s">
        <v>239</v>
      </c>
      <c r="E1" s="74" t="s">
        <v>240</v>
      </c>
      <c r="F1" s="74" t="s">
        <v>241</v>
      </c>
      <c r="G1" s="74" t="s">
        <v>242</v>
      </c>
      <c r="H1" s="74" t="s">
        <v>243</v>
      </c>
      <c r="I1" s="42" t="s">
        <v>244</v>
      </c>
      <c r="J1" s="74" t="s">
        <v>246</v>
      </c>
      <c r="K1" s="74" t="s">
        <v>245</v>
      </c>
    </row>
    <row r="2" spans="1:11" ht="21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21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1" ht="21" customHeight="1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</row>
    <row r="5" spans="1:11" ht="21" customHeight="1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</row>
    <row r="6" spans="1:11" ht="21" customHeight="1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</row>
    <row r="7" spans="1:11" ht="21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</row>
    <row r="8" spans="1:11" ht="21" customHeight="1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11" ht="21" customHeight="1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</row>
    <row r="10" spans="1:11" ht="21" customHeight="1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</row>
    <row r="11" spans="1:11" ht="21" customHeight="1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</row>
    <row r="12" spans="1:11" ht="21" customHeight="1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</row>
    <row r="13" spans="1:11" ht="21" customHeight="1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</row>
    <row r="14" spans="1:11" ht="21" customHeight="1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1" ht="21" customHeight="1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</row>
    <row r="16" spans="1:11" ht="21" customHeight="1" x14ac:dyDescent="0.2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</row>
    <row r="17" spans="1:11" ht="21" customHeight="1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ht="21" customHeight="1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</row>
    <row r="19" spans="1:11" ht="21" customHeight="1" x14ac:dyDescent="0.2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</row>
    <row r="20" spans="1:11" ht="21" customHeight="1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</row>
    <row r="21" spans="1:11" ht="21" customHeight="1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</row>
    <row r="22" spans="1:11" ht="21" customHeight="1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</row>
    <row r="23" spans="1:11" ht="21" customHeight="1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</row>
    <row r="24" spans="1:11" ht="21" customHeight="1" x14ac:dyDescent="0.2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</row>
    <row r="25" spans="1:11" ht="21" customHeight="1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</row>
    <row r="26" spans="1:11" ht="21" customHeight="1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</row>
    <row r="27" spans="1:11" ht="21" customHeight="1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</row>
    <row r="28" spans="1:11" ht="21" customHeight="1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</row>
    <row r="29" spans="1:11" ht="21" customHeight="1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</row>
    <row r="30" spans="1:11" ht="21" customHeight="1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</row>
    <row r="31" spans="1:11" ht="21" customHeight="1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</row>
    <row r="32" spans="1:11" ht="21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</row>
    <row r="33" spans="1:11" ht="21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</row>
    <row r="34" spans="1:11" ht="21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</row>
    <row r="35" spans="1:11" ht="21" customHeight="1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</row>
  </sheetData>
  <pageMargins left="0" right="0" top="0.35433070866141736" bottom="0.55118110236220474" header="0.31496062992125984" footer="0.5118110236220472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Nhap ao</vt:lpstr>
      <vt:lpstr>Nhap do TD</vt:lpstr>
      <vt:lpstr>Nhap do xuong</vt:lpstr>
      <vt:lpstr>Da nop KT</vt:lpstr>
      <vt:lpstr>Nhap-xuat-ton</vt:lpstr>
      <vt:lpstr>ke nop tien</vt:lpstr>
      <vt:lpstr>Sheet2</vt:lpstr>
      <vt:lpstr>Sheet3</vt:lpstr>
      <vt:lpstr>Sheet3 (2)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2017-06-23T09:03:51Z</cp:lastPrinted>
  <dcterms:created xsi:type="dcterms:W3CDTF">2016-09-23T02:11:47Z</dcterms:created>
  <dcterms:modified xsi:type="dcterms:W3CDTF">2017-07-28T10:23:45Z</dcterms:modified>
</cp:coreProperties>
</file>